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PRSF Composer Residency/a_budget/"/>
    </mc:Choice>
  </mc:AlternateContent>
  <bookViews>
    <workbookView xWindow="0" yWindow="0" windowWidth="28800" windowHeight="11010"/>
  </bookViews>
  <sheets>
    <sheet name="PRSF Composer Residency Summary" sheetId="3" r:id="rId1"/>
    <sheet name="Sam Lee" sheetId="7" r:id="rId2"/>
    <sheet name="Daniel Elms" sheetId="1" r:id="rId3"/>
    <sheet name="Brian Irvine" sheetId="2" r:id="rId4"/>
    <sheet name="Hannah Peel, HFC &amp; Volunteers" sheetId="11" r:id="rId5"/>
    <sheet name="Sam Pirt - P&amp;F Homes" sheetId="4" r:id="rId6"/>
    <sheet name="Diverse music - Saz with MamJ" sheetId="6" r:id="rId7"/>
    <sheet name="Open Doors" sheetId="5" r:id="rId8"/>
    <sheet name="Hull Oratorio" sheetId="9" r:id="rId9"/>
    <sheet name="Wyke College" sheetId="10" r:id="rId10"/>
    <sheet name="Hazel Gould &amp; Tom @ Adelaide PS" sheetId="13" r:id="rId11"/>
  </sheets>
  <calcPr calcId="171027"/>
</workbook>
</file>

<file path=xl/calcChain.xml><?xml version="1.0" encoding="utf-8"?>
<calcChain xmlns="http://schemas.openxmlformats.org/spreadsheetml/2006/main">
  <c r="O7" i="4" l="1"/>
  <c r="M15" i="5"/>
  <c r="M13" i="5"/>
  <c r="M12" i="5"/>
  <c r="O5" i="4"/>
  <c r="O3" i="4"/>
  <c r="M9" i="11" l="1"/>
  <c r="M7" i="11"/>
  <c r="M6" i="11"/>
  <c r="M5" i="11"/>
  <c r="M4" i="11"/>
  <c r="M3" i="11" l="1"/>
  <c r="Q6" i="2"/>
  <c r="Q14" i="2" s="1"/>
  <c r="Q10" i="2"/>
  <c r="Q11" i="2"/>
  <c r="Q12" i="2"/>
  <c r="Q9" i="2"/>
  <c r="Q8" i="2"/>
  <c r="Q7" i="2"/>
  <c r="B3" i="13" l="1"/>
  <c r="B10" i="13" s="1"/>
  <c r="B20" i="3" s="1"/>
  <c r="I22" i="11" l="1"/>
  <c r="D12" i="11" l="1"/>
  <c r="D13" i="11"/>
  <c r="I13" i="2" l="1"/>
  <c r="D16" i="11"/>
  <c r="N41" i="2"/>
  <c r="P42" i="2" s="1"/>
  <c r="D11" i="11" l="1"/>
  <c r="G22" i="11"/>
  <c r="D9" i="11" l="1"/>
  <c r="D4" i="11"/>
  <c r="I34" i="2"/>
  <c r="I23" i="2" l="1"/>
  <c r="I21" i="2"/>
  <c r="I11" i="2"/>
  <c r="C3" i="3"/>
  <c r="E19" i="9"/>
  <c r="F12" i="4"/>
  <c r="O6" i="4" s="1"/>
  <c r="F11" i="4"/>
  <c r="B26" i="3"/>
  <c r="C10" i="9" l="1"/>
  <c r="D14" i="11"/>
  <c r="D10" i="11"/>
  <c r="D7" i="11"/>
  <c r="D8" i="11"/>
  <c r="D3" i="11"/>
  <c r="E15" i="1"/>
  <c r="C17" i="9"/>
  <c r="D10" i="6"/>
  <c r="B15" i="3" s="1"/>
  <c r="G10" i="5"/>
  <c r="D22" i="11" l="1"/>
  <c r="B13" i="3" s="1"/>
  <c r="G11" i="5"/>
  <c r="I14" i="5" s="1"/>
  <c r="D7" i="10"/>
  <c r="B18" i="3" s="1"/>
  <c r="B17" i="3"/>
  <c r="F6" i="7"/>
  <c r="F9" i="7" s="1"/>
  <c r="B10" i="3" s="1"/>
  <c r="M7" i="5" l="1"/>
  <c r="M4" i="5"/>
  <c r="M8" i="5" s="1"/>
  <c r="G3" i="5"/>
  <c r="G16" i="5" l="1"/>
  <c r="G18" i="5" s="1"/>
  <c r="B16" i="3" s="1"/>
  <c r="D5" i="3"/>
  <c r="F4" i="4"/>
  <c r="I41" i="2"/>
  <c r="B12" i="3" s="1"/>
  <c r="E16" i="1"/>
  <c r="E7" i="1"/>
  <c r="E17" i="1"/>
  <c r="E14" i="1"/>
  <c r="E13" i="1"/>
  <c r="D12" i="1"/>
  <c r="E11" i="1"/>
  <c r="E10" i="1"/>
  <c r="E9" i="1"/>
  <c r="D9" i="1"/>
  <c r="D8" i="1"/>
  <c r="E8" i="1" s="1"/>
  <c r="E6" i="1"/>
  <c r="D6" i="1"/>
  <c r="F16" i="4" l="1"/>
  <c r="B14" i="3" s="1"/>
  <c r="O4" i="4"/>
  <c r="O8" i="4" s="1"/>
  <c r="H11" i="1"/>
  <c r="E19" i="1"/>
  <c r="B11" i="3" s="1"/>
  <c r="D28" i="3" l="1"/>
  <c r="D32" i="3" s="1"/>
</calcChain>
</file>

<file path=xl/sharedStrings.xml><?xml version="1.0" encoding="utf-8"?>
<sst xmlns="http://schemas.openxmlformats.org/spreadsheetml/2006/main" count="313" uniqueCount="258">
  <si>
    <t>ORCHESTRAL MUSICIAN COST</t>
  </si>
  <si>
    <t>WORKSHOPS x2 2-hour workshops per artist: £191.00 5-hour call x (24/5) = £955.00</t>
  </si>
  <si>
    <t>REHEARSALS x1 2-hour rehearsal per artist: £95.00 3-hour call x4 = £380.00</t>
  </si>
  <si>
    <t>CONCERT x1 3-hour concert fee across all artist performances: £160.00 x1 = £160.00</t>
  </si>
  <si>
    <t>ESTIMATED BROADCAST FEE = £30.00</t>
  </si>
  <si>
    <t>ESTIMATED NIGHTLY ACCOMMODATION* £73.00 x7 nights = £511.00</t>
  </si>
  <si>
    <t>* based upon per-night cost of Holiday Inn Hull Marina</t>
  </si>
  <si>
    <t>ESTIMATED PORTERAGE COST† £18.60 (Group C) x7 days = £130.20</t>
  </si>
  <si>
    <t>† in the example of a string quartet only the cello would require this fee</t>
  </si>
  <si>
    <t>ESTIMATED TRAVEL COST‡ £89.10 return journey x2 journeys = £178.20</t>
  </si>
  <si>
    <t>‡ based upon an off-peak return journey (London Kings X - Hull) bought on the day of travel; journey 1 for 5 days of workshops, journey 2 for a rehearsal day followed by concert day.</t>
  </si>
  <si>
    <t>SUB TOTAL (COST PER MUSICIAN)= £2,344.40</t>
  </si>
  <si>
    <t>x4 musicians</t>
  </si>
  <si>
    <t>TOTAL = £9,377.60</t>
  </si>
  <si>
    <t>Daniel Elms - PRSF Composer Residency proposal</t>
  </si>
  <si>
    <t>6 local artists/groups</t>
  </si>
  <si>
    <t>2 workshops per participating artist/group with 4 professional players</t>
  </si>
  <si>
    <t>time</t>
  </si>
  <si>
    <t>rate</t>
  </si>
  <si>
    <t>5 hour call (assumes 2 groups per day)</t>
  </si>
  <si>
    <t>3 hour call</t>
  </si>
  <si>
    <t>rehearsals 1 x 2 hour rehearsals per artist/group with 4 pro players</t>
  </si>
  <si>
    <t>Concert - same 4 pro players across all performances</t>
  </si>
  <si>
    <t>total for all groups</t>
  </si>
  <si>
    <t>total per participant/ group</t>
  </si>
  <si>
    <t>Broadcast fee - estimated at £30 per pro player for 4 players</t>
  </si>
  <si>
    <t>Overnight accommodation for 4 players on 8 nights</t>
  </si>
  <si>
    <t>8 nights</t>
  </si>
  <si>
    <t>Train Travel for 7 return journeys for 4 players</t>
  </si>
  <si>
    <t>Porterage costs £18.60 (group c) x 7 days</t>
  </si>
  <si>
    <t>7 days</t>
  </si>
  <si>
    <t>TOTAL</t>
  </si>
  <si>
    <t>Videographer for performance - Adam Blyth</t>
  </si>
  <si>
    <t>2 days</t>
  </si>
  <si>
    <t>Daniel Elms travel - 7 return journeys open return rate</t>
  </si>
  <si>
    <t>5 days</t>
  </si>
  <si>
    <t>£20/£25</t>
  </si>
  <si>
    <t>Per diems for each of 4 pro players assuming work fits into 5 days</t>
  </si>
  <si>
    <t>Contingency</t>
  </si>
  <si>
    <t>Detail</t>
  </si>
  <si>
    <t>Daniel Elms fee - 7 days - to be negotiated</t>
  </si>
  <si>
    <t>Brian Irvine</t>
  </si>
  <si>
    <t>Workshops with The Crossings</t>
  </si>
  <si>
    <t>27/28 Nov </t>
  </si>
  <si>
    <t>Travel</t>
  </si>
  <si>
    <t>Accommodation</t>
  </si>
  <si>
    <t>Accommodation 2017</t>
  </si>
  <si>
    <t>recording with The Crossings</t>
  </si>
  <si>
    <t>Recording facility</t>
  </si>
  <si>
    <t>tech hire &amp; staffing</t>
  </si>
  <si>
    <t>and return to Big Elastic Band</t>
  </si>
  <si>
    <t>Room hire Freedom Centre</t>
  </si>
  <si>
    <t>Tech sound/lighting for Freedom Centre</t>
  </si>
  <si>
    <t>Supporting musicians (professional)</t>
  </si>
  <si>
    <t>Work with 4 East Hull Primary Schools</t>
  </si>
  <si>
    <t>Daniel Elms</t>
  </si>
  <si>
    <t>Available budget</t>
  </si>
  <si>
    <t>Sam Pirt - P&amp;F homes</t>
  </si>
  <si>
    <t>Sam Pirt - working at Pickering &amp; Ferens Homes - Big Elastic Band</t>
  </si>
  <si>
    <t>Sam Pirt fees</t>
  </si>
  <si>
    <t>August to Dec</t>
  </si>
  <si>
    <t>Sam Pirt travel</t>
  </si>
  <si>
    <t>11 journeys @£11</t>
  </si>
  <si>
    <t>11 sessions @ £106</t>
  </si>
  <si>
    <t>Jan to April 2018</t>
  </si>
  <si>
    <t>10 sessions @106</t>
  </si>
  <si>
    <t>10 journeys @ £11</t>
  </si>
  <si>
    <t>Supporting artists</t>
  </si>
  <si>
    <t>Travel for supporting artists</t>
  </si>
  <si>
    <t>Misc expenses to support the group</t>
  </si>
  <si>
    <t>Open Doors</t>
  </si>
  <si>
    <t>Hull Oratorio support</t>
  </si>
  <si>
    <t>Gary H time</t>
  </si>
  <si>
    <t>5 sessions in 2018 (Jan - Apr)</t>
  </si>
  <si>
    <t>Open Doors grant from Yr1</t>
  </si>
  <si>
    <t>£1473 spent of  £2829</t>
  </si>
  <si>
    <t>carried forward</t>
  </si>
  <si>
    <t>Room hire</t>
  </si>
  <si>
    <t>Interpretation 6 per session at £15</t>
  </si>
  <si>
    <t>Participant expenses (taxi/bus fares)</t>
  </si>
  <si>
    <t>Administration fee for Open Doors @ 15%</t>
  </si>
  <si>
    <t>TOTAL per session</t>
  </si>
  <si>
    <t>performance half day</t>
  </si>
  <si>
    <t>Fee for additional work plus expenses as agreed</t>
  </si>
  <si>
    <t>Technical Support to be engaged by Sam Lee direct</t>
  </si>
  <si>
    <t>Artist’s fee for 5 days work</t>
  </si>
  <si>
    <t>Sam Lee residency</t>
  </si>
  <si>
    <t>Sam Lee</t>
  </si>
  <si>
    <t>capacity for a further  6 sessions (taking us to Dec 2017</t>
  </si>
  <si>
    <t>Mambo Jambo with Saz and Oud</t>
  </si>
  <si>
    <t>Hull Oratorio Support</t>
  </si>
  <si>
    <t>Score printing</t>
  </si>
  <si>
    <t>Supporting artists/players</t>
  </si>
  <si>
    <t>Marketing/PR</t>
  </si>
  <si>
    <t>Wyke College</t>
  </si>
  <si>
    <t>Ben Newton's time</t>
  </si>
  <si>
    <t>FOC</t>
  </si>
  <si>
    <t>Support with travel</t>
  </si>
  <si>
    <t>to be recharged from James' fee - check</t>
  </si>
  <si>
    <t>8 sessions in 2017 (Sep-Dec)</t>
  </si>
  <si>
    <t>reheasal half day</t>
  </si>
  <si>
    <t>dress rehearsal half day</t>
  </si>
  <si>
    <t>1 dress rehearsal</t>
  </si>
  <si>
    <t>1 final performance</t>
  </si>
  <si>
    <t xml:space="preserve">travel </t>
  </si>
  <si>
    <t>five musicians, including Mambo Jambo. A number of sessions to create the piece for end of Jan, plus scoring time, plus next year's rehearsals (of four rehearsals) and performance</t>
  </si>
  <si>
    <t>Mambo Jambo fee</t>
  </si>
  <si>
    <t>room hire for rehearsals</t>
  </si>
  <si>
    <t>misc travel expenses</t>
  </si>
  <si>
    <t>Coach travel for schools</t>
  </si>
  <si>
    <t>Hull Freedom Chorus and Hull 2017 volunteers</t>
  </si>
  <si>
    <t>Composer travel for final performance</t>
  </si>
  <si>
    <t>Copying scores</t>
  </si>
  <si>
    <t>Videographer - post production</t>
  </si>
  <si>
    <t>Composer/project Name</t>
  </si>
  <si>
    <t>£</t>
  </si>
  <si>
    <t>PRSF NMB Composer Residency phase 2</t>
  </si>
  <si>
    <t>confirmed and contracted</t>
  </si>
  <si>
    <t>status</t>
  </si>
  <si>
    <t>in negotiation</t>
  </si>
  <si>
    <t>confirmed and contract in preparation</t>
  </si>
  <si>
    <t>confirmed with artists</t>
  </si>
  <si>
    <t>Working with Hannah Peel</t>
  </si>
  <si>
    <t>2 creative sessions 7 and 9 Dec 2017</t>
  </si>
  <si>
    <t>Travel for creative sessions</t>
  </si>
  <si>
    <t>Venue hire for 2 creative sessions</t>
  </si>
  <si>
    <t>Rehearsals - composer input to up to 3 rehearsals</t>
  </si>
  <si>
    <t>travel to 3 rehearsals</t>
  </si>
  <si>
    <t>Composer accommodation 19 Apr and 20 Apr</t>
  </si>
  <si>
    <t>Choir conductor time &amp; Travel dress rehearsal and performance</t>
  </si>
  <si>
    <t>composer time for dress rehearsal and performance</t>
  </si>
  <si>
    <t>Composer writing and scoring time 5 days</t>
  </si>
  <si>
    <t>conductor accommodation 19/20 Apr</t>
  </si>
  <si>
    <t>Hannah Peel with HFC and Hull 2017 vols</t>
  </si>
  <si>
    <t>Ben/Tom arranging fees from James' fee £360 per 5 min piece</t>
  </si>
  <si>
    <t>5 rehearsals - Jan to April conductor</t>
  </si>
  <si>
    <t>5 rehearsals - jan to april room hire</t>
  </si>
  <si>
    <t>Supporting musicians misc</t>
  </si>
  <si>
    <t>Assistant Workshop Leader expenses x 2</t>
  </si>
  <si>
    <t>Choir rehearsals x 6</t>
  </si>
  <si>
    <t>Choir conductor Ben N for 6 x 2.5 hr reherasals</t>
  </si>
  <si>
    <t>Mambo Jambo input to Wyke (3 days)</t>
  </si>
  <si>
    <t>covered in fee above</t>
  </si>
  <si>
    <t>not needed</t>
  </si>
  <si>
    <t>9 sessions plus 1 rehearsal plus performance</t>
  </si>
  <si>
    <t>1 day in Dec</t>
  </si>
  <si>
    <t>unspent from 2017</t>
  </si>
  <si>
    <t>James' CPD sessions (x 3) venue hire</t>
  </si>
  <si>
    <t>Contribute to venue Hire - City Hall</t>
  </si>
  <si>
    <t>Contribute to Sound/lighting facility City Hall</t>
  </si>
  <si>
    <t>Room hire choir rehearsals x 6</t>
  </si>
  <si>
    <t xml:space="preserve">covered by Music Service </t>
  </si>
  <si>
    <t>shared with music service</t>
  </si>
  <si>
    <t>4 sessions</t>
  </si>
  <si>
    <t>?</t>
  </si>
  <si>
    <t>Assistant Producer (10 hrs per wk Jan-Apr 2018 £893 per month)</t>
  </si>
  <si>
    <t>if on costs remain unchanged</t>
  </si>
  <si>
    <t>?? - may not be required</t>
  </si>
  <si>
    <t>saving</t>
  </si>
  <si>
    <t>on pro musicians could be a saving - and utilise music students at Hull Uni</t>
  </si>
  <si>
    <t>Speak to Daniel re this being supported by an ACE bid</t>
  </si>
  <si>
    <t>This could be a G4A bid to ACE</t>
  </si>
  <si>
    <t>James Redwood's fees covered by separate budget</t>
  </si>
  <si>
    <t>2 days in Nov</t>
  </si>
  <si>
    <t>11-14 Dec </t>
  </si>
  <si>
    <t>4 days Dec</t>
  </si>
  <si>
    <t>1 day in dec 14</t>
  </si>
  <si>
    <t>8 days (2 days in each school)</t>
  </si>
  <si>
    <t>2 morning sessions</t>
  </si>
  <si>
    <t>18 &amp; 19 Jan</t>
  </si>
  <si>
    <t>25&amp;26 Jan</t>
  </si>
  <si>
    <t>1+2 Feb</t>
  </si>
  <si>
    <t>22 + 23 Feb</t>
  </si>
  <si>
    <t>6 nights</t>
  </si>
  <si>
    <t>1 day final rehearsal &amp; performance 22 Mar</t>
  </si>
  <si>
    <t>Travel 5 journeys</t>
  </si>
  <si>
    <t>Travel 2 journeys</t>
  </si>
  <si>
    <t>Accommodation 2018 (10 nights)</t>
  </si>
  <si>
    <t>Singing leader accommodation</t>
  </si>
  <si>
    <t>possible savings</t>
  </si>
  <si>
    <t>could offer to Mersey PS</t>
  </si>
  <si>
    <t>provisionally booked</t>
  </si>
  <si>
    <t>Contributing artists meet with James 14 Dec</t>
  </si>
  <si>
    <t>25 or 26 Jan</t>
  </si>
  <si>
    <t>1 2 Mar</t>
  </si>
  <si>
    <t>8, 9 Mar</t>
  </si>
  <si>
    <t>15, 16 Mar</t>
  </si>
  <si>
    <t>4 sessions over 2 days</t>
  </si>
  <si>
    <t>8 &amp; 9 Feb</t>
  </si>
  <si>
    <t>4 sessions over 2 days with BI</t>
  </si>
  <si>
    <t>4 sessions over 2 days (with BI)</t>
  </si>
  <si>
    <t>Singing leader travel up to 11 journeys</t>
  </si>
  <si>
    <t>Female Songwriting project</t>
  </si>
  <si>
    <t>Em Whitfield Brooks:</t>
  </si>
  <si>
    <t>Hannah's fee</t>
  </si>
  <si>
    <t>Composer Per Diems</t>
  </si>
  <si>
    <t>Brian's days</t>
  </si>
  <si>
    <t>Arranging time (4 days)</t>
  </si>
  <si>
    <t>transfer from PRSF JH</t>
  </si>
  <si>
    <t>Choral conductor attend creative sessions in Dec (1.5 days)</t>
  </si>
  <si>
    <t>overnight accommodation 2 nights @ Ibis 8 &amp; 10 Dec</t>
  </si>
  <si>
    <t>No days</t>
  </si>
  <si>
    <t>Adelaide Primary School</t>
  </si>
  <si>
    <t>Travel and accom for Hazel</t>
  </si>
  <si>
    <t xml:space="preserve">Librettist - Hazel </t>
  </si>
  <si>
    <t>Tom Lawrence working with 16 children - 4 days</t>
  </si>
  <si>
    <t>Trip to Yorkshire Wildlife Trust reserve (mini bus hire)</t>
  </si>
  <si>
    <t>Hazel Gould and Tom Lawrence @ Adelaide PS</t>
  </si>
  <si>
    <t>possible trip with adults</t>
  </si>
  <si>
    <t>confirmed - contract shared</t>
  </si>
  <si>
    <t>confirmed and contract shared</t>
  </si>
  <si>
    <t>in negotiation (re supporting musicians)</t>
  </si>
  <si>
    <t>Choir to be involved - no cost to project</t>
  </si>
  <si>
    <t>Collegiate School - James Webb</t>
  </si>
  <si>
    <t>£660 been paid, new PO for  balance</t>
  </si>
  <si>
    <t>New PO to be raised</t>
  </si>
  <si>
    <t>Don’t raise PO's or spend until PRS funding of £22,500 is confirmed in writing</t>
  </si>
  <si>
    <t>surplus/deficit</t>
  </si>
  <si>
    <t>Codes:</t>
  </si>
  <si>
    <t>ZK101.K115.C236</t>
  </si>
  <si>
    <t>ZK101.K116.C236</t>
  </si>
  <si>
    <t>ZK101.K219.C236</t>
  </si>
  <si>
    <t>Codes</t>
  </si>
  <si>
    <t>Fees</t>
  </si>
  <si>
    <t>ZK103.K116.C236</t>
  </si>
  <si>
    <t>ZK103.K115.C236</t>
  </si>
  <si>
    <t>ZK103.K224.C236</t>
  </si>
  <si>
    <t>ZK103.K279.C236</t>
  </si>
  <si>
    <t>ZK103.K136.C236</t>
  </si>
  <si>
    <t>ZK103.K245.C236</t>
  </si>
  <si>
    <t>Summary</t>
  </si>
  <si>
    <t>Fee</t>
  </si>
  <si>
    <t>Venue hire</t>
  </si>
  <si>
    <t>Summary:</t>
  </si>
  <si>
    <t>Conductor</t>
  </si>
  <si>
    <t>Travel &amp; per diems</t>
  </si>
  <si>
    <t>ZK104.K115.C236</t>
  </si>
  <si>
    <t>ZK104.K116.C236</t>
  </si>
  <si>
    <t>ZK104.K136.C236</t>
  </si>
  <si>
    <t>ZK104.K223.C236</t>
  </si>
  <si>
    <t>ZK105.K115.C236</t>
  </si>
  <si>
    <t>ZK105.K136.C236</t>
  </si>
  <si>
    <t>ZK101.K161.C236</t>
  </si>
  <si>
    <t>ZK103.K161.C236</t>
  </si>
  <si>
    <t>ZK104.K161.C236</t>
  </si>
  <si>
    <t>ZK105.K161.C236</t>
  </si>
  <si>
    <t>Pete &amp; Frankie Devt (Diverse)</t>
  </si>
  <si>
    <t>Gant</t>
  </si>
  <si>
    <t>ZK105.K224.C236</t>
  </si>
  <si>
    <t>ZK106.K161.C236</t>
  </si>
  <si>
    <t>ZK106.K115.C236</t>
  </si>
  <si>
    <t>Gary H fees</t>
  </si>
  <si>
    <t>Open doors Grant</t>
  </si>
  <si>
    <t>ZK107.K161.C236</t>
  </si>
  <si>
    <t>ZK107.K208.C236</t>
  </si>
  <si>
    <t>ZK110.K161.C236</t>
  </si>
  <si>
    <t>ZK110.K115.C236</t>
  </si>
  <si>
    <t>ZK105.K299.C236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</si>
</sst>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wrapText="1"/>
    </xf>
    <xf numFmtId="44" fontId="0" fillId="0" borderId="0" xfId="0" applyNumberFormat="1"/>
    <xf numFmtId="44" fontId="0" fillId="0" borderId="1" xfId="0" applyNumberFormat="1" applyBorder="1"/>
    <xf numFmtId="3" fontId="0" fillId="0" borderId="0" xfId="0" applyNumberFormat="1"/>
    <xf numFmtId="44" fontId="2" fillId="0" borderId="2" xfId="1" applyFont="1" applyBorder="1"/>
    <xf numFmtId="0" fontId="2" fillId="0" borderId="2" xfId="0" applyFont="1" applyBorder="1"/>
    <xf numFmtId="6" fontId="0" fillId="0" borderId="0" xfId="0" applyNumberFormat="1"/>
    <xf numFmtId="6" fontId="2" fillId="0" borderId="0" xfId="0" applyNumberFormat="1" applyFont="1"/>
    <xf numFmtId="0" fontId="0" fillId="0" borderId="0" xfId="0" applyFont="1"/>
    <xf numFmtId="0" fontId="4" fillId="0" borderId="0" xfId="0" applyFont="1"/>
    <xf numFmtId="44" fontId="0" fillId="0" borderId="2" xfId="1" applyFont="1" applyBorder="1"/>
    <xf numFmtId="6" fontId="0" fillId="0" borderId="2" xfId="0" applyNumberFormat="1" applyBorder="1"/>
    <xf numFmtId="3" fontId="0" fillId="0" borderId="2" xfId="0" applyNumberFormat="1" applyBorder="1"/>
    <xf numFmtId="16" fontId="0" fillId="0" borderId="0" xfId="0" applyNumberFormat="1"/>
    <xf numFmtId="0" fontId="5" fillId="0" borderId="0" xfId="0" applyFont="1"/>
    <xf numFmtId="44" fontId="0" fillId="2" borderId="0" xfId="1" applyFont="1" applyFill="1"/>
    <xf numFmtId="0" fontId="0" fillId="2" borderId="0" xfId="0" applyFill="1"/>
    <xf numFmtId="0" fontId="0" fillId="0" borderId="0" xfId="0" applyFill="1"/>
    <xf numFmtId="44" fontId="0" fillId="0" borderId="0" xfId="1" applyFont="1" applyFill="1"/>
    <xf numFmtId="0" fontId="6" fillId="0" borderId="0" xfId="0" applyFont="1"/>
    <xf numFmtId="0" fontId="2" fillId="0" borderId="0" xfId="0" applyFont="1" applyAlignment="1">
      <alignment horizontal="center"/>
    </xf>
    <xf numFmtId="164" fontId="0" fillId="0" borderId="0" xfId="2" applyNumberFormat="1" applyFont="1"/>
    <xf numFmtId="43" fontId="0" fillId="0" borderId="0" xfId="2" applyFont="1"/>
    <xf numFmtId="43" fontId="2" fillId="0" borderId="0" xfId="2" applyFont="1"/>
    <xf numFmtId="44" fontId="0" fillId="3" borderId="0" xfId="1" applyFont="1" applyFill="1"/>
    <xf numFmtId="44" fontId="2" fillId="0" borderId="0" xfId="0" applyNumberFormat="1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A27" sqref="A27"/>
    </sheetView>
  </sheetViews>
  <sheetFormatPr defaultRowHeight="15" x14ac:dyDescent="0.25"/>
  <cols>
    <col min="1" max="1" width="39.7109375" customWidth="1"/>
    <col min="2" max="2" width="20.5703125" customWidth="1"/>
    <col min="4" max="4" width="11.5703125" bestFit="1" customWidth="1"/>
  </cols>
  <sheetData>
    <row r="1" spans="1:10" x14ac:dyDescent="0.25">
      <c r="A1" s="3" t="s">
        <v>116</v>
      </c>
    </row>
    <row r="2" spans="1:10" x14ac:dyDescent="0.25">
      <c r="A2" s="3"/>
    </row>
    <row r="3" spans="1:10" x14ac:dyDescent="0.25">
      <c r="A3" t="s">
        <v>56</v>
      </c>
      <c r="B3" t="s">
        <v>146</v>
      </c>
      <c r="C3" s="8">
        <f>SUM(43500+2200)</f>
        <v>45700</v>
      </c>
    </row>
    <row r="4" spans="1:10" x14ac:dyDescent="0.25">
      <c r="B4" t="s">
        <v>198</v>
      </c>
      <c r="C4" s="8">
        <v>22500</v>
      </c>
    </row>
    <row r="5" spans="1:10" x14ac:dyDescent="0.25">
      <c r="B5" t="s">
        <v>31</v>
      </c>
      <c r="D5" s="17">
        <f>SUM(C3:C4)</f>
        <v>68200</v>
      </c>
    </row>
    <row r="6" spans="1:10" x14ac:dyDescent="0.25">
      <c r="C6" s="8"/>
    </row>
    <row r="7" spans="1:10" x14ac:dyDescent="0.25">
      <c r="A7" t="s">
        <v>162</v>
      </c>
      <c r="C7" s="8"/>
    </row>
    <row r="8" spans="1:10" x14ac:dyDescent="0.25">
      <c r="F8" s="3" t="s">
        <v>118</v>
      </c>
    </row>
    <row r="9" spans="1:10" x14ac:dyDescent="0.25">
      <c r="A9" s="3" t="s">
        <v>114</v>
      </c>
      <c r="B9" t="s">
        <v>115</v>
      </c>
    </row>
    <row r="10" spans="1:10" x14ac:dyDescent="0.25">
      <c r="A10" s="13" t="s">
        <v>87</v>
      </c>
      <c r="B10" s="29">
        <f>'Sam Lee'!F9</f>
        <v>2578</v>
      </c>
      <c r="F10" t="s">
        <v>117</v>
      </c>
    </row>
    <row r="11" spans="1:10" x14ac:dyDescent="0.25">
      <c r="A11" t="s">
        <v>55</v>
      </c>
      <c r="B11" s="20">
        <f>'Daniel Elms'!E19</f>
        <v>10000</v>
      </c>
      <c r="F11" t="s">
        <v>119</v>
      </c>
      <c r="J11" t="s">
        <v>161</v>
      </c>
    </row>
    <row r="12" spans="1:10" x14ac:dyDescent="0.25">
      <c r="A12" t="s">
        <v>41</v>
      </c>
      <c r="B12" s="29">
        <f>'Brian Irvine'!I41</f>
        <v>19679</v>
      </c>
      <c r="F12" t="s">
        <v>209</v>
      </c>
    </row>
    <row r="13" spans="1:10" x14ac:dyDescent="0.25">
      <c r="A13" t="s">
        <v>133</v>
      </c>
      <c r="B13" s="29">
        <f>'Hannah Peel, HFC &amp; Volunteers'!D22</f>
        <v>7782.66</v>
      </c>
      <c r="F13" t="s">
        <v>209</v>
      </c>
    </row>
    <row r="14" spans="1:10" x14ac:dyDescent="0.25">
      <c r="A14" t="s">
        <v>57</v>
      </c>
      <c r="B14" s="29">
        <f>'Sam Pirt - P&amp;F Homes'!F16</f>
        <v>3661</v>
      </c>
      <c r="F14" t="s">
        <v>117</v>
      </c>
    </row>
    <row r="15" spans="1:10" x14ac:dyDescent="0.25">
      <c r="A15" t="s">
        <v>246</v>
      </c>
      <c r="B15" s="29">
        <f>'Diverse music - Saz with MamJ'!D10</f>
        <v>2100</v>
      </c>
      <c r="F15" t="s">
        <v>210</v>
      </c>
    </row>
    <row r="16" spans="1:10" x14ac:dyDescent="0.25">
      <c r="A16" t="s">
        <v>70</v>
      </c>
      <c r="B16" s="29">
        <f>'Open Doors'!G18</f>
        <v>4696.75</v>
      </c>
      <c r="F16" t="s">
        <v>120</v>
      </c>
    </row>
    <row r="17" spans="1:19" x14ac:dyDescent="0.25">
      <c r="A17" t="s">
        <v>71</v>
      </c>
      <c r="B17" s="20">
        <f>'Hull Oratorio'!C17</f>
        <v>5800</v>
      </c>
      <c r="F17" t="s">
        <v>121</v>
      </c>
    </row>
    <row r="18" spans="1:19" x14ac:dyDescent="0.25">
      <c r="A18" t="s">
        <v>94</v>
      </c>
      <c r="B18" s="20">
        <f>'Wyke College'!D7</f>
        <v>850</v>
      </c>
      <c r="F18" t="s">
        <v>211</v>
      </c>
    </row>
    <row r="19" spans="1:19" x14ac:dyDescent="0.25">
      <c r="A19" t="s">
        <v>213</v>
      </c>
      <c r="B19" s="2"/>
      <c r="F19" t="s">
        <v>212</v>
      </c>
    </row>
    <row r="20" spans="1:19" x14ac:dyDescent="0.25">
      <c r="A20" t="s">
        <v>207</v>
      </c>
      <c r="B20" s="29">
        <f>'Hazel Gould &amp; Tom @ Adelaide PS'!B10</f>
        <v>2731</v>
      </c>
      <c r="F20" t="s">
        <v>119</v>
      </c>
    </row>
    <row r="21" spans="1:19" x14ac:dyDescent="0.25">
      <c r="A21" t="s">
        <v>192</v>
      </c>
      <c r="B21" s="20">
        <v>4000</v>
      </c>
    </row>
    <row r="22" spans="1:19" x14ac:dyDescent="0.25">
      <c r="A22" t="s">
        <v>38</v>
      </c>
      <c r="B22" s="20">
        <v>750</v>
      </c>
    </row>
    <row r="23" spans="1:19" x14ac:dyDescent="0.25">
      <c r="B23" s="22"/>
    </row>
    <row r="24" spans="1:19" x14ac:dyDescent="0.25">
      <c r="B24" s="23"/>
    </row>
    <row r="25" spans="1:19" x14ac:dyDescent="0.25">
      <c r="B25" s="23"/>
    </row>
    <row r="26" spans="1:19" x14ac:dyDescent="0.25">
      <c r="A26" t="s">
        <v>155</v>
      </c>
      <c r="B26" s="20">
        <f>SUM(893*4)</f>
        <v>3572</v>
      </c>
      <c r="F26" t="s">
        <v>156</v>
      </c>
      <c r="L26" s="21" t="s">
        <v>216</v>
      </c>
      <c r="M26" s="21"/>
      <c r="N26" s="21"/>
      <c r="O26" s="21"/>
      <c r="P26" s="21"/>
      <c r="Q26" s="21"/>
      <c r="R26" s="21"/>
      <c r="S26" s="21"/>
    </row>
    <row r="28" spans="1:19" x14ac:dyDescent="0.25">
      <c r="B28" t="s">
        <v>31</v>
      </c>
      <c r="D28" s="16">
        <f>SUM(B10:B27)</f>
        <v>68200.41</v>
      </c>
    </row>
    <row r="32" spans="1:19" x14ac:dyDescent="0.25">
      <c r="B32" t="s">
        <v>217</v>
      </c>
      <c r="D32" s="11">
        <f>SUM(D5-D28)</f>
        <v>-0.41000000000349246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5" sqref="D5"/>
    </sheetView>
  </sheetViews>
  <sheetFormatPr defaultRowHeight="15" x14ac:dyDescent="0.25"/>
  <cols>
    <col min="4" max="4" width="10.5703125" bestFit="1" customWidth="1"/>
  </cols>
  <sheetData>
    <row r="1" spans="1:4" x14ac:dyDescent="0.25">
      <c r="A1" s="3" t="s">
        <v>94</v>
      </c>
    </row>
    <row r="3" spans="1:4" x14ac:dyDescent="0.25">
      <c r="A3" t="s">
        <v>95</v>
      </c>
      <c r="C3" t="s">
        <v>96</v>
      </c>
    </row>
    <row r="4" spans="1:4" x14ac:dyDescent="0.25">
      <c r="A4" t="s">
        <v>97</v>
      </c>
      <c r="D4">
        <v>100</v>
      </c>
    </row>
    <row r="5" spans="1:4" x14ac:dyDescent="0.25">
      <c r="A5" t="s">
        <v>67</v>
      </c>
      <c r="D5">
        <v>750</v>
      </c>
    </row>
    <row r="7" spans="1:4" x14ac:dyDescent="0.25">
      <c r="C7" t="s">
        <v>31</v>
      </c>
      <c r="D7" s="4">
        <f>SUM(D3:D5)</f>
        <v>850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0"/>
  <sheetViews>
    <sheetView workbookViewId="0">
      <selection activeCell="E16" sqref="E16"/>
    </sheetView>
  </sheetViews>
  <sheetFormatPr defaultRowHeight="15" x14ac:dyDescent="0.25"/>
  <cols>
    <col min="1" max="1" width="49.7109375" bestFit="1" customWidth="1"/>
    <col min="2" max="2" width="10.5703125" bestFit="1" customWidth="1"/>
    <col min="4" max="4" width="15.7109375" bestFit="1" customWidth="1"/>
  </cols>
  <sheetData>
    <row r="1" spans="1:5" x14ac:dyDescent="0.25">
      <c r="A1" t="s">
        <v>202</v>
      </c>
    </row>
    <row r="2" spans="1:5" x14ac:dyDescent="0.25">
      <c r="B2" t="s">
        <v>115</v>
      </c>
    </row>
    <row r="3" spans="1:5" x14ac:dyDescent="0.25">
      <c r="A3" t="s">
        <v>205</v>
      </c>
      <c r="B3">
        <f>SUM(4*350)</f>
        <v>1400</v>
      </c>
      <c r="D3" t="s">
        <v>255</v>
      </c>
    </row>
    <row r="4" spans="1:5" x14ac:dyDescent="0.25">
      <c r="A4" t="s">
        <v>204</v>
      </c>
      <c r="B4">
        <v>700</v>
      </c>
      <c r="D4" t="s">
        <v>255</v>
      </c>
    </row>
    <row r="5" spans="1:5" x14ac:dyDescent="0.25">
      <c r="A5" t="s">
        <v>203</v>
      </c>
      <c r="B5">
        <v>220</v>
      </c>
      <c r="D5" t="s">
        <v>256</v>
      </c>
    </row>
    <row r="7" spans="1:5" x14ac:dyDescent="0.25">
      <c r="A7" t="s">
        <v>206</v>
      </c>
      <c r="B7">
        <v>411</v>
      </c>
      <c r="D7" t="s">
        <v>256</v>
      </c>
      <c r="E7" t="s">
        <v>208</v>
      </c>
    </row>
    <row r="10" spans="1:5" x14ac:dyDescent="0.25">
      <c r="A10" t="s">
        <v>31</v>
      </c>
      <c r="B10" s="4">
        <f>SUM(B3:B8)</f>
        <v>2731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9"/>
  <sheetViews>
    <sheetView workbookViewId="0">
      <selection activeCell="F27" sqref="F27"/>
    </sheetView>
  </sheetViews>
  <sheetFormatPr defaultRowHeight="15" x14ac:dyDescent="0.25"/>
  <sheetData>
    <row r="1" spans="1:8" x14ac:dyDescent="0.25">
      <c r="A1" s="24" t="s">
        <v>86</v>
      </c>
    </row>
    <row r="3" spans="1:8" x14ac:dyDescent="0.25">
      <c r="A3" s="3" t="s">
        <v>83</v>
      </c>
      <c r="H3" t="s">
        <v>218</v>
      </c>
    </row>
    <row r="4" spans="1:8" x14ac:dyDescent="0.25">
      <c r="A4" t="s">
        <v>84</v>
      </c>
      <c r="F4" s="11">
        <v>600</v>
      </c>
      <c r="H4" t="s">
        <v>221</v>
      </c>
    </row>
    <row r="5" spans="1:8" x14ac:dyDescent="0.25">
      <c r="A5" t="s">
        <v>85</v>
      </c>
      <c r="E5" s="11"/>
      <c r="F5" s="11">
        <v>1600</v>
      </c>
      <c r="H5" t="s">
        <v>242</v>
      </c>
    </row>
    <row r="6" spans="1:8" x14ac:dyDescent="0.25">
      <c r="A6" s="13" t="s">
        <v>45</v>
      </c>
      <c r="F6" s="11">
        <f>SUM(89*2)</f>
        <v>178</v>
      </c>
      <c r="G6" s="12"/>
      <c r="H6" t="s">
        <v>220</v>
      </c>
    </row>
    <row r="7" spans="1:8" x14ac:dyDescent="0.25">
      <c r="A7" t="s">
        <v>44</v>
      </c>
      <c r="F7" s="11">
        <v>200</v>
      </c>
      <c r="H7" t="s">
        <v>219</v>
      </c>
    </row>
    <row r="9" spans="1:8" x14ac:dyDescent="0.25">
      <c r="F9" s="12">
        <f>SUM(F4:F7)</f>
        <v>2578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workbookViewId="0">
      <selection activeCell="I26" sqref="I26"/>
    </sheetView>
  </sheetViews>
  <sheetFormatPr defaultRowHeight="15" x14ac:dyDescent="0.25"/>
  <cols>
    <col min="1" max="1" width="66.5703125" customWidth="1"/>
    <col min="2" max="2" width="35.140625" bestFit="1" customWidth="1"/>
    <col min="3" max="3" width="9.140625" style="2"/>
    <col min="4" max="4" width="15.28515625" customWidth="1"/>
    <col min="5" max="5" width="11.7109375" customWidth="1"/>
    <col min="8" max="8" width="10.5703125" bestFit="1" customWidth="1"/>
  </cols>
  <sheetData>
    <row r="2" spans="1:9" x14ac:dyDescent="0.25">
      <c r="A2" t="s">
        <v>14</v>
      </c>
    </row>
    <row r="4" spans="1:9" x14ac:dyDescent="0.25">
      <c r="A4" t="s">
        <v>15</v>
      </c>
    </row>
    <row r="5" spans="1:9" s="3" customFormat="1" ht="45" x14ac:dyDescent="0.25">
      <c r="A5" s="3" t="s">
        <v>39</v>
      </c>
      <c r="B5" s="3" t="s">
        <v>17</v>
      </c>
      <c r="C5" s="4" t="s">
        <v>18</v>
      </c>
      <c r="D5" s="5" t="s">
        <v>24</v>
      </c>
      <c r="E5" s="5" t="s">
        <v>23</v>
      </c>
    </row>
    <row r="6" spans="1:9" x14ac:dyDescent="0.25">
      <c r="A6" t="s">
        <v>16</v>
      </c>
      <c r="B6" t="s">
        <v>19</v>
      </c>
      <c r="C6" s="2">
        <v>191</v>
      </c>
      <c r="D6" s="2">
        <f>SUM((191*4*3)/6)</f>
        <v>382</v>
      </c>
      <c r="E6" s="2">
        <f>SUM(191*4*3)</f>
        <v>2292</v>
      </c>
    </row>
    <row r="7" spans="1:9" x14ac:dyDescent="0.25">
      <c r="A7" t="s">
        <v>37</v>
      </c>
      <c r="B7" t="s">
        <v>35</v>
      </c>
      <c r="C7" s="2" t="s">
        <v>36</v>
      </c>
      <c r="D7" s="2"/>
      <c r="E7" s="2">
        <f>SUM(105*4)</f>
        <v>420</v>
      </c>
    </row>
    <row r="8" spans="1:9" x14ac:dyDescent="0.25">
      <c r="A8" t="s">
        <v>21</v>
      </c>
      <c r="B8" t="s">
        <v>20</v>
      </c>
      <c r="C8" s="2">
        <v>95</v>
      </c>
      <c r="D8" s="2">
        <f>95*4</f>
        <v>380</v>
      </c>
      <c r="E8" s="2">
        <f>SUM(D8*6)</f>
        <v>2280</v>
      </c>
    </row>
    <row r="9" spans="1:9" x14ac:dyDescent="0.25">
      <c r="A9" t="s">
        <v>22</v>
      </c>
      <c r="B9" t="s">
        <v>20</v>
      </c>
      <c r="C9" s="2">
        <v>160</v>
      </c>
      <c r="D9" s="2">
        <f>SUM(160*4)</f>
        <v>640</v>
      </c>
      <c r="E9" s="2">
        <f>D9</f>
        <v>640</v>
      </c>
    </row>
    <row r="10" spans="1:9" x14ac:dyDescent="0.25">
      <c r="A10" t="s">
        <v>25</v>
      </c>
      <c r="C10" s="2">
        <v>30</v>
      </c>
      <c r="D10" s="2"/>
      <c r="E10" s="2">
        <f>C10*4</f>
        <v>120</v>
      </c>
    </row>
    <row r="11" spans="1:9" x14ac:dyDescent="0.25">
      <c r="A11" t="s">
        <v>26</v>
      </c>
      <c r="B11" t="s">
        <v>27</v>
      </c>
      <c r="C11" s="2">
        <v>89</v>
      </c>
      <c r="E11" s="2">
        <f>SUM(32*89)</f>
        <v>2848</v>
      </c>
      <c r="H11" s="6">
        <f>SUM(E6:E13)</f>
        <v>9811</v>
      </c>
      <c r="I11" t="s">
        <v>159</v>
      </c>
    </row>
    <row r="12" spans="1:9" x14ac:dyDescent="0.25">
      <c r="A12" t="s">
        <v>28</v>
      </c>
      <c r="B12" t="s">
        <v>30</v>
      </c>
      <c r="C12" s="2">
        <v>100</v>
      </c>
      <c r="D12" s="2">
        <f>SUM(E12/6)</f>
        <v>116.66666666666667</v>
      </c>
      <c r="E12" s="2">
        <v>700</v>
      </c>
    </row>
    <row r="13" spans="1:9" x14ac:dyDescent="0.25">
      <c r="A13" t="s">
        <v>29</v>
      </c>
      <c r="B13" t="s">
        <v>30</v>
      </c>
      <c r="C13" s="2">
        <v>73</v>
      </c>
      <c r="E13" s="2">
        <f>SUM(73*7)</f>
        <v>511</v>
      </c>
    </row>
    <row r="14" spans="1:9" x14ac:dyDescent="0.25">
      <c r="A14" t="s">
        <v>32</v>
      </c>
      <c r="B14" t="s">
        <v>33</v>
      </c>
      <c r="C14" s="2">
        <v>650</v>
      </c>
      <c r="E14" s="2">
        <f>SUM(C14*2)</f>
        <v>1300</v>
      </c>
    </row>
    <row r="15" spans="1:9" x14ac:dyDescent="0.25">
      <c r="A15" t="s">
        <v>113</v>
      </c>
      <c r="B15" t="s">
        <v>33</v>
      </c>
      <c r="C15" s="2">
        <v>650</v>
      </c>
      <c r="E15" s="2">
        <f>SUM(C15*2)</f>
        <v>1300</v>
      </c>
    </row>
    <row r="16" spans="1:9" x14ac:dyDescent="0.25">
      <c r="A16" t="s">
        <v>40</v>
      </c>
      <c r="B16" t="s">
        <v>30</v>
      </c>
      <c r="C16" s="2">
        <v>300</v>
      </c>
      <c r="E16" s="2">
        <f>SUM(7*300)</f>
        <v>2100</v>
      </c>
    </row>
    <row r="17" spans="1:5" x14ac:dyDescent="0.25">
      <c r="A17" t="s">
        <v>34</v>
      </c>
      <c r="B17" t="s">
        <v>30</v>
      </c>
      <c r="C17" s="2">
        <v>112</v>
      </c>
      <c r="E17" s="2">
        <f>SUM(C17*7)</f>
        <v>784</v>
      </c>
    </row>
    <row r="18" spans="1:5" x14ac:dyDescent="0.25">
      <c r="D18" t="s">
        <v>158</v>
      </c>
      <c r="E18" s="6">
        <v>-5295</v>
      </c>
    </row>
    <row r="19" spans="1:5" ht="15.75" thickBot="1" x14ac:dyDescent="0.3">
      <c r="D19" t="s">
        <v>31</v>
      </c>
      <c r="E19" s="7">
        <f>SUM(E6:E18)</f>
        <v>10000</v>
      </c>
    </row>
    <row r="22" spans="1:5" x14ac:dyDescent="0.25">
      <c r="A22" t="s">
        <v>160</v>
      </c>
    </row>
    <row r="29" spans="1:5" ht="15.75" x14ac:dyDescent="0.25">
      <c r="A29" s="1" t="s">
        <v>0</v>
      </c>
    </row>
    <row r="30" spans="1:5" ht="15.75" x14ac:dyDescent="0.25">
      <c r="A30" s="1" t="s">
        <v>1</v>
      </c>
    </row>
    <row r="31" spans="1:5" ht="15.75" x14ac:dyDescent="0.25">
      <c r="A31" s="1" t="s">
        <v>2</v>
      </c>
    </row>
    <row r="32" spans="1:5" ht="15.75" x14ac:dyDescent="0.25">
      <c r="A32" s="1" t="s">
        <v>3</v>
      </c>
    </row>
    <row r="33" spans="1:1" ht="15.75" x14ac:dyDescent="0.25">
      <c r="A33" s="1" t="s">
        <v>4</v>
      </c>
    </row>
    <row r="34" spans="1:1" ht="15.75" x14ac:dyDescent="0.25">
      <c r="A34" s="1"/>
    </row>
    <row r="35" spans="1:1" ht="15.75" x14ac:dyDescent="0.25">
      <c r="A35" s="1" t="s">
        <v>5</v>
      </c>
    </row>
    <row r="36" spans="1:1" ht="15.75" x14ac:dyDescent="0.25">
      <c r="A36" s="1" t="s">
        <v>6</v>
      </c>
    </row>
    <row r="37" spans="1:1" ht="15.75" x14ac:dyDescent="0.25">
      <c r="A37" s="1"/>
    </row>
    <row r="38" spans="1:1" ht="15.75" x14ac:dyDescent="0.25">
      <c r="A38" s="1" t="s">
        <v>7</v>
      </c>
    </row>
    <row r="39" spans="1:1" ht="15.75" x14ac:dyDescent="0.25">
      <c r="A39" s="1" t="s">
        <v>8</v>
      </c>
    </row>
    <row r="40" spans="1:1" ht="15.75" x14ac:dyDescent="0.25">
      <c r="A40" s="1"/>
    </row>
    <row r="41" spans="1:1" ht="15.75" x14ac:dyDescent="0.25">
      <c r="A41" s="1" t="s">
        <v>9</v>
      </c>
    </row>
    <row r="42" spans="1:1" ht="15.75" x14ac:dyDescent="0.25">
      <c r="A42" s="1" t="s">
        <v>10</v>
      </c>
    </row>
    <row r="43" spans="1:1" ht="15.75" x14ac:dyDescent="0.25">
      <c r="A43" s="1" t="s">
        <v>11</v>
      </c>
    </row>
    <row r="44" spans="1:1" ht="15.75" x14ac:dyDescent="0.25">
      <c r="A44" s="1"/>
    </row>
    <row r="45" spans="1:1" ht="15.75" x14ac:dyDescent="0.25">
      <c r="A45" s="1" t="s">
        <v>12</v>
      </c>
    </row>
    <row r="46" spans="1:1" ht="15.75" x14ac:dyDescent="0.25">
      <c r="A46" s="1" t="s">
        <v>13</v>
      </c>
    </row>
    <row r="47" spans="1:1" ht="15.75" x14ac:dyDescent="0.25">
      <c r="A47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S42"/>
  <sheetViews>
    <sheetView workbookViewId="0">
      <selection activeCell="S7" sqref="S7"/>
    </sheetView>
  </sheetViews>
  <sheetFormatPr defaultRowHeight="15" x14ac:dyDescent="0.25"/>
  <cols>
    <col min="9" max="9" width="11.5703125" bestFit="1" customWidth="1"/>
    <col min="16" max="16" width="37.28515625" bestFit="1" customWidth="1"/>
    <col min="17" max="17" width="10.5703125" bestFit="1" customWidth="1"/>
    <col min="18" max="18" width="2.85546875" customWidth="1"/>
  </cols>
  <sheetData>
    <row r="2" spans="1:19" x14ac:dyDescent="0.25">
      <c r="A2" s="3" t="s">
        <v>41</v>
      </c>
      <c r="N2" t="s">
        <v>196</v>
      </c>
    </row>
    <row r="4" spans="1:19" x14ac:dyDescent="0.25">
      <c r="A4" t="s">
        <v>42</v>
      </c>
    </row>
    <row r="5" spans="1:19" x14ac:dyDescent="0.25">
      <c r="E5" t="s">
        <v>163</v>
      </c>
      <c r="G5" t="s">
        <v>43</v>
      </c>
      <c r="I5">
        <v>600</v>
      </c>
      <c r="N5">
        <v>2</v>
      </c>
      <c r="P5" s="3" t="s">
        <v>230</v>
      </c>
      <c r="Q5" s="25" t="s">
        <v>115</v>
      </c>
      <c r="S5" s="3" t="s">
        <v>222</v>
      </c>
    </row>
    <row r="6" spans="1:19" x14ac:dyDescent="0.25">
      <c r="P6" t="s">
        <v>223</v>
      </c>
      <c r="Q6" s="26">
        <f>I5+I8+I10+I13+I16+I17+I18+I19+I20+I25+I26+I27+I28+I29+I30</f>
        <v>10300</v>
      </c>
      <c r="S6" t="s">
        <v>243</v>
      </c>
    </row>
    <row r="7" spans="1:19" x14ac:dyDescent="0.25">
      <c r="P7" t="s">
        <v>45</v>
      </c>
      <c r="Q7" s="26">
        <f>I11+I23+I35</f>
        <v>1829</v>
      </c>
      <c r="S7" t="s">
        <v>224</v>
      </c>
    </row>
    <row r="8" spans="1:19" x14ac:dyDescent="0.25">
      <c r="A8" t="s">
        <v>47</v>
      </c>
      <c r="E8" t="s">
        <v>165</v>
      </c>
      <c r="G8" t="s">
        <v>164</v>
      </c>
      <c r="I8">
        <v>1200</v>
      </c>
      <c r="N8">
        <v>4</v>
      </c>
      <c r="P8" t="s">
        <v>44</v>
      </c>
      <c r="Q8" s="26">
        <f>I12+I21+I34</f>
        <v>1950</v>
      </c>
      <c r="S8" t="s">
        <v>225</v>
      </c>
    </row>
    <row r="9" spans="1:19" x14ac:dyDescent="0.25">
      <c r="A9" t="s">
        <v>50</v>
      </c>
      <c r="E9" t="s">
        <v>145</v>
      </c>
      <c r="P9" t="s">
        <v>53</v>
      </c>
      <c r="Q9" s="26">
        <f>I36</f>
        <v>4000</v>
      </c>
      <c r="S9" t="s">
        <v>226</v>
      </c>
    </row>
    <row r="10" spans="1:19" x14ac:dyDescent="0.25">
      <c r="A10" t="s">
        <v>48</v>
      </c>
      <c r="E10" s="19" t="s">
        <v>166</v>
      </c>
      <c r="G10" t="s">
        <v>49</v>
      </c>
      <c r="I10">
        <v>1000</v>
      </c>
      <c r="K10" t="s">
        <v>179</v>
      </c>
      <c r="P10" t="s">
        <v>109</v>
      </c>
      <c r="Q10" s="26">
        <f t="shared" ref="Q10:Q12" si="0">I37</f>
        <v>800</v>
      </c>
      <c r="S10" t="s">
        <v>227</v>
      </c>
    </row>
    <row r="11" spans="1:19" x14ac:dyDescent="0.25">
      <c r="E11" t="s">
        <v>46</v>
      </c>
      <c r="G11" t="s">
        <v>173</v>
      </c>
      <c r="I11">
        <f>SUM(6*110)</f>
        <v>660</v>
      </c>
      <c r="P11" t="s">
        <v>51</v>
      </c>
      <c r="Q11" s="26">
        <f t="shared" si="0"/>
        <v>400</v>
      </c>
      <c r="S11" t="s">
        <v>228</v>
      </c>
    </row>
    <row r="12" spans="1:19" x14ac:dyDescent="0.25">
      <c r="E12" t="s">
        <v>176</v>
      </c>
      <c r="I12">
        <v>400</v>
      </c>
      <c r="P12" t="s">
        <v>52</v>
      </c>
      <c r="Q12" s="26">
        <f t="shared" si="0"/>
        <v>400</v>
      </c>
      <c r="S12" t="s">
        <v>229</v>
      </c>
    </row>
    <row r="13" spans="1:19" x14ac:dyDescent="0.25">
      <c r="E13" s="19" t="s">
        <v>197</v>
      </c>
      <c r="I13">
        <f>SUM(300*4)</f>
        <v>1200</v>
      </c>
      <c r="N13">
        <v>3</v>
      </c>
      <c r="Q13" s="26"/>
    </row>
    <row r="14" spans="1:19" x14ac:dyDescent="0.25">
      <c r="E14" t="s">
        <v>167</v>
      </c>
      <c r="N14">
        <v>8</v>
      </c>
      <c r="Q14" s="26">
        <f>SUM(Q6:Q13)</f>
        <v>19679</v>
      </c>
    </row>
    <row r="15" spans="1:19" x14ac:dyDescent="0.25">
      <c r="A15" t="s">
        <v>54</v>
      </c>
      <c r="E15" t="s">
        <v>168</v>
      </c>
      <c r="G15" t="s">
        <v>43</v>
      </c>
      <c r="K15" t="s">
        <v>180</v>
      </c>
    </row>
    <row r="16" spans="1:19" x14ac:dyDescent="0.25">
      <c r="E16" t="s">
        <v>169</v>
      </c>
      <c r="G16" t="s">
        <v>153</v>
      </c>
      <c r="I16">
        <v>600</v>
      </c>
    </row>
    <row r="17" spans="1:14" x14ac:dyDescent="0.25">
      <c r="E17" t="s">
        <v>170</v>
      </c>
      <c r="G17" t="s">
        <v>153</v>
      </c>
      <c r="I17">
        <v>600</v>
      </c>
    </row>
    <row r="18" spans="1:14" x14ac:dyDescent="0.25">
      <c r="E18" t="s">
        <v>171</v>
      </c>
      <c r="G18" t="s">
        <v>153</v>
      </c>
      <c r="I18">
        <v>600</v>
      </c>
    </row>
    <row r="19" spans="1:14" x14ac:dyDescent="0.25">
      <c r="E19" t="s">
        <v>172</v>
      </c>
      <c r="G19" t="s">
        <v>153</v>
      </c>
      <c r="I19">
        <v>600</v>
      </c>
    </row>
    <row r="20" spans="1:14" x14ac:dyDescent="0.25">
      <c r="E20" t="s">
        <v>174</v>
      </c>
      <c r="I20">
        <v>300</v>
      </c>
      <c r="N20">
        <v>1</v>
      </c>
    </row>
    <row r="21" spans="1:14" x14ac:dyDescent="0.25">
      <c r="E21" t="s">
        <v>175</v>
      </c>
      <c r="I21">
        <f>SUM(5*200)</f>
        <v>1000</v>
      </c>
    </row>
    <row r="23" spans="1:14" x14ac:dyDescent="0.25">
      <c r="E23" t="s">
        <v>177</v>
      </c>
      <c r="I23">
        <f>SUM(10*110)</f>
        <v>1100</v>
      </c>
    </row>
    <row r="25" spans="1:14" x14ac:dyDescent="0.25">
      <c r="A25" t="s">
        <v>193</v>
      </c>
      <c r="E25" t="s">
        <v>171</v>
      </c>
      <c r="G25" t="s">
        <v>189</v>
      </c>
      <c r="I25">
        <v>600</v>
      </c>
    </row>
    <row r="26" spans="1:14" x14ac:dyDescent="0.25">
      <c r="E26" t="s">
        <v>188</v>
      </c>
      <c r="G26" t="s">
        <v>187</v>
      </c>
      <c r="I26">
        <v>600</v>
      </c>
    </row>
    <row r="27" spans="1:14" x14ac:dyDescent="0.25">
      <c r="E27" t="s">
        <v>172</v>
      </c>
      <c r="G27" t="s">
        <v>190</v>
      </c>
      <c r="I27">
        <v>600</v>
      </c>
    </row>
    <row r="28" spans="1:14" x14ac:dyDescent="0.25">
      <c r="E28" t="s">
        <v>184</v>
      </c>
      <c r="G28" t="s">
        <v>187</v>
      </c>
      <c r="I28">
        <v>600</v>
      </c>
    </row>
    <row r="29" spans="1:14" x14ac:dyDescent="0.25">
      <c r="E29" t="s">
        <v>185</v>
      </c>
      <c r="G29" t="s">
        <v>187</v>
      </c>
      <c r="I29">
        <v>600</v>
      </c>
    </row>
    <row r="30" spans="1:14" x14ac:dyDescent="0.25">
      <c r="E30" t="s">
        <v>186</v>
      </c>
      <c r="G30" t="s">
        <v>187</v>
      </c>
      <c r="I30">
        <v>600</v>
      </c>
    </row>
    <row r="34" spans="5:16" x14ac:dyDescent="0.25">
      <c r="E34" t="s">
        <v>191</v>
      </c>
      <c r="I34">
        <f>(50*11)</f>
        <v>550</v>
      </c>
    </row>
    <row r="35" spans="5:16" x14ac:dyDescent="0.25">
      <c r="E35" t="s">
        <v>178</v>
      </c>
      <c r="I35">
        <v>69</v>
      </c>
    </row>
    <row r="36" spans="5:16" x14ac:dyDescent="0.25">
      <c r="E36" t="s">
        <v>53</v>
      </c>
      <c r="I36">
        <v>4000</v>
      </c>
    </row>
    <row r="37" spans="5:16" x14ac:dyDescent="0.25">
      <c r="E37" t="s">
        <v>109</v>
      </c>
      <c r="I37">
        <v>800</v>
      </c>
    </row>
    <row r="38" spans="5:16" x14ac:dyDescent="0.25">
      <c r="E38" t="s">
        <v>51</v>
      </c>
      <c r="I38">
        <v>400</v>
      </c>
      <c r="K38" t="s">
        <v>181</v>
      </c>
    </row>
    <row r="39" spans="5:16" x14ac:dyDescent="0.25">
      <c r="E39" t="s">
        <v>52</v>
      </c>
      <c r="I39">
        <v>400</v>
      </c>
    </row>
    <row r="41" spans="5:16" x14ac:dyDescent="0.25">
      <c r="E41" t="s">
        <v>31</v>
      </c>
      <c r="I41" s="2">
        <f>SUM(I3:I39)</f>
        <v>19679</v>
      </c>
      <c r="N41">
        <f>SUM(N5:N34)</f>
        <v>18</v>
      </c>
    </row>
    <row r="42" spans="5:16" x14ac:dyDescent="0.25">
      <c r="P42">
        <f>SUM(N41*300)</f>
        <v>5400</v>
      </c>
    </row>
  </sheetData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2"/>
  <sheetViews>
    <sheetView workbookViewId="0">
      <selection activeCell="N4" sqref="N4"/>
    </sheetView>
  </sheetViews>
  <sheetFormatPr defaultRowHeight="15" x14ac:dyDescent="0.25"/>
  <cols>
    <col min="1" max="1" width="39.28515625" customWidth="1"/>
    <col min="4" max="4" width="10.5703125" bestFit="1" customWidth="1"/>
    <col min="12" max="12" width="17.85546875" bestFit="1" customWidth="1"/>
    <col min="13" max="13" width="9.5703125" style="27" bestFit="1" customWidth="1"/>
  </cols>
  <sheetData>
    <row r="1" spans="1:14" x14ac:dyDescent="0.25">
      <c r="A1" s="3" t="s">
        <v>110</v>
      </c>
    </row>
    <row r="2" spans="1:14" x14ac:dyDescent="0.25">
      <c r="A2" t="s">
        <v>122</v>
      </c>
      <c r="G2" t="s">
        <v>194</v>
      </c>
      <c r="I2" t="s">
        <v>201</v>
      </c>
      <c r="L2" s="3" t="s">
        <v>233</v>
      </c>
    </row>
    <row r="3" spans="1:14" x14ac:dyDescent="0.25">
      <c r="A3" t="s">
        <v>123</v>
      </c>
      <c r="D3" s="22">
        <f>SUM(300*2)</f>
        <v>600</v>
      </c>
      <c r="G3">
        <v>600</v>
      </c>
      <c r="I3">
        <v>2</v>
      </c>
      <c r="L3" t="s">
        <v>231</v>
      </c>
      <c r="M3" s="27">
        <f>G22</f>
        <v>3600</v>
      </c>
      <c r="N3" t="s">
        <v>244</v>
      </c>
    </row>
    <row r="4" spans="1:14" x14ac:dyDescent="0.25">
      <c r="A4" t="s">
        <v>124</v>
      </c>
      <c r="D4" s="22">
        <f>SUM((198*0.25)*2)</f>
        <v>99</v>
      </c>
      <c r="L4" t="s">
        <v>235</v>
      </c>
      <c r="M4" s="27">
        <f>D4+D9+D11+D17+D18</f>
        <v>1171</v>
      </c>
      <c r="N4" t="s">
        <v>236</v>
      </c>
    </row>
    <row r="5" spans="1:14" x14ac:dyDescent="0.25">
      <c r="A5" t="s">
        <v>200</v>
      </c>
      <c r="D5" s="22">
        <v>91.66</v>
      </c>
      <c r="L5" t="s">
        <v>45</v>
      </c>
      <c r="M5" s="27">
        <f>D5+D15+D16</f>
        <v>301.65999999999997</v>
      </c>
      <c r="N5" t="s">
        <v>237</v>
      </c>
    </row>
    <row r="6" spans="1:14" x14ac:dyDescent="0.25">
      <c r="A6" t="s">
        <v>125</v>
      </c>
      <c r="D6" s="22">
        <v>310</v>
      </c>
      <c r="L6" t="s">
        <v>232</v>
      </c>
      <c r="M6" s="27">
        <f>D6+D14</f>
        <v>810</v>
      </c>
      <c r="N6" t="s">
        <v>238</v>
      </c>
    </row>
    <row r="7" spans="1:14" x14ac:dyDescent="0.25">
      <c r="A7" t="s">
        <v>131</v>
      </c>
      <c r="D7" s="22">
        <f>SUM(300*5)</f>
        <v>1500</v>
      </c>
      <c r="G7">
        <v>1500</v>
      </c>
      <c r="I7">
        <v>5</v>
      </c>
      <c r="L7" t="s">
        <v>234</v>
      </c>
      <c r="M7" s="27">
        <f>D12+D13+D20</f>
        <v>1900</v>
      </c>
      <c r="N7" t="s">
        <v>239</v>
      </c>
    </row>
    <row r="8" spans="1:14" x14ac:dyDescent="0.25">
      <c r="A8" t="s">
        <v>126</v>
      </c>
      <c r="D8" s="22">
        <f>SUM(300*3)</f>
        <v>900</v>
      </c>
      <c r="G8">
        <v>900</v>
      </c>
      <c r="I8">
        <v>3</v>
      </c>
    </row>
    <row r="9" spans="1:14" x14ac:dyDescent="0.25">
      <c r="A9" t="s">
        <v>127</v>
      </c>
      <c r="D9" s="22">
        <f>SUM(99*3)</f>
        <v>297</v>
      </c>
      <c r="M9" s="28">
        <f>SUM(M3:M8)</f>
        <v>7782.66</v>
      </c>
    </row>
    <row r="10" spans="1:14" x14ac:dyDescent="0.25">
      <c r="A10" t="s">
        <v>130</v>
      </c>
      <c r="D10" s="22">
        <f>SUM(300*2)</f>
        <v>600</v>
      </c>
      <c r="G10">
        <v>600</v>
      </c>
      <c r="I10">
        <v>2</v>
      </c>
    </row>
    <row r="11" spans="1:14" x14ac:dyDescent="0.25">
      <c r="A11" t="s">
        <v>195</v>
      </c>
      <c r="D11" s="22">
        <f>SUM(7*25)</f>
        <v>175</v>
      </c>
    </row>
    <row r="12" spans="1:14" x14ac:dyDescent="0.25">
      <c r="A12" t="s">
        <v>199</v>
      </c>
      <c r="D12" s="22">
        <f>SUM(350+250)</f>
        <v>600</v>
      </c>
    </row>
    <row r="13" spans="1:14" x14ac:dyDescent="0.25">
      <c r="A13" t="s">
        <v>135</v>
      </c>
      <c r="D13" s="22">
        <f>SUM(250*5)</f>
        <v>1250</v>
      </c>
    </row>
    <row r="14" spans="1:14" x14ac:dyDescent="0.25">
      <c r="A14" t="s">
        <v>136</v>
      </c>
      <c r="D14" s="22">
        <f>SUM(5*100)</f>
        <v>500</v>
      </c>
    </row>
    <row r="15" spans="1:14" x14ac:dyDescent="0.25">
      <c r="A15" t="s">
        <v>132</v>
      </c>
      <c r="D15" s="22">
        <v>100</v>
      </c>
    </row>
    <row r="16" spans="1:14" x14ac:dyDescent="0.25">
      <c r="A16" t="s">
        <v>128</v>
      </c>
      <c r="D16" s="22">
        <f>SUM(55*2)</f>
        <v>110</v>
      </c>
    </row>
    <row r="17" spans="1:9" x14ac:dyDescent="0.25">
      <c r="A17" t="s">
        <v>111</v>
      </c>
      <c r="D17" s="22">
        <v>100</v>
      </c>
    </row>
    <row r="18" spans="1:9" x14ac:dyDescent="0.25">
      <c r="A18" t="s">
        <v>129</v>
      </c>
      <c r="D18" s="22">
        <v>500</v>
      </c>
    </row>
    <row r="19" spans="1:9" x14ac:dyDescent="0.25">
      <c r="D19" s="22"/>
    </row>
    <row r="20" spans="1:9" x14ac:dyDescent="0.25">
      <c r="A20" t="s">
        <v>112</v>
      </c>
      <c r="D20">
        <v>50</v>
      </c>
    </row>
    <row r="22" spans="1:9" x14ac:dyDescent="0.25">
      <c r="D22" s="15">
        <f>SUM(D3:D21)</f>
        <v>7782.66</v>
      </c>
      <c r="G22">
        <f>SUM(G3:G20)</f>
        <v>3600</v>
      </c>
      <c r="I22">
        <f>SUM(I3:I19)</f>
        <v>12</v>
      </c>
    </row>
  </sheetData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6"/>
  <sheetViews>
    <sheetView workbookViewId="0">
      <selection activeCell="P8" sqref="P8"/>
    </sheetView>
  </sheetViews>
  <sheetFormatPr defaultRowHeight="15" x14ac:dyDescent="0.25"/>
  <cols>
    <col min="1" max="1" width="17.85546875" customWidth="1"/>
    <col min="6" max="6" width="10.5703125" bestFit="1" customWidth="1"/>
    <col min="14" max="14" width="17.85546875" bestFit="1" customWidth="1"/>
    <col min="15" max="15" width="10.5703125" bestFit="1" customWidth="1"/>
  </cols>
  <sheetData>
    <row r="1" spans="1:16" x14ac:dyDescent="0.25">
      <c r="A1" s="3" t="s">
        <v>58</v>
      </c>
    </row>
    <row r="3" spans="1:16" x14ac:dyDescent="0.25">
      <c r="A3" t="s">
        <v>59</v>
      </c>
      <c r="B3" t="s">
        <v>60</v>
      </c>
      <c r="D3" t="s">
        <v>63</v>
      </c>
      <c r="F3" s="2">
        <v>1166</v>
      </c>
      <c r="H3" t="s">
        <v>214</v>
      </c>
      <c r="N3" t="s">
        <v>231</v>
      </c>
      <c r="O3" s="6">
        <f>F3+F6+F8+F9</f>
        <v>2438</v>
      </c>
      <c r="P3" t="s">
        <v>245</v>
      </c>
    </row>
    <row r="4" spans="1:16" x14ac:dyDescent="0.25">
      <c r="A4" t="s">
        <v>61</v>
      </c>
      <c r="D4" t="s">
        <v>62</v>
      </c>
      <c r="F4" s="2">
        <f>SUM(11*11)</f>
        <v>121</v>
      </c>
      <c r="H4" t="s">
        <v>215</v>
      </c>
      <c r="N4" t="s">
        <v>44</v>
      </c>
      <c r="O4" s="6">
        <f>F4+F7+F10+F11</f>
        <v>323</v>
      </c>
      <c r="P4" t="s">
        <v>240</v>
      </c>
    </row>
    <row r="5" spans="1:16" x14ac:dyDescent="0.25">
      <c r="F5" s="2"/>
      <c r="N5" t="s">
        <v>232</v>
      </c>
      <c r="O5" s="6">
        <f>F13</f>
        <v>250</v>
      </c>
      <c r="P5" t="s">
        <v>241</v>
      </c>
    </row>
    <row r="6" spans="1:16" x14ac:dyDescent="0.25">
      <c r="A6" t="s">
        <v>59</v>
      </c>
      <c r="B6" t="s">
        <v>64</v>
      </c>
      <c r="D6" t="s">
        <v>65</v>
      </c>
      <c r="F6" s="2">
        <v>1060</v>
      </c>
      <c r="N6" t="s">
        <v>67</v>
      </c>
      <c r="O6" s="6">
        <f>F12</f>
        <v>600</v>
      </c>
      <c r="P6" t="s">
        <v>248</v>
      </c>
    </row>
    <row r="7" spans="1:16" x14ac:dyDescent="0.25">
      <c r="D7" t="s">
        <v>66</v>
      </c>
      <c r="F7" s="2">
        <v>100</v>
      </c>
      <c r="N7" t="s">
        <v>69</v>
      </c>
      <c r="O7" s="6">
        <f>F14</f>
        <v>50</v>
      </c>
      <c r="P7" t="s">
        <v>257</v>
      </c>
    </row>
    <row r="8" spans="1:16" x14ac:dyDescent="0.25">
      <c r="D8" t="s">
        <v>102</v>
      </c>
      <c r="F8" s="2">
        <v>106</v>
      </c>
      <c r="O8" s="30">
        <f>SUM(O3:O6)</f>
        <v>3611</v>
      </c>
    </row>
    <row r="9" spans="1:16" x14ac:dyDescent="0.25">
      <c r="D9" t="s">
        <v>103</v>
      </c>
      <c r="F9" s="2">
        <v>106</v>
      </c>
    </row>
    <row r="10" spans="1:16" x14ac:dyDescent="0.25">
      <c r="D10" t="s">
        <v>104</v>
      </c>
      <c r="F10" s="2">
        <v>22</v>
      </c>
    </row>
    <row r="11" spans="1:16" x14ac:dyDescent="0.25">
      <c r="A11" t="s">
        <v>68</v>
      </c>
      <c r="D11" t="s">
        <v>153</v>
      </c>
      <c r="F11" s="2">
        <f>SUM(4*20)</f>
        <v>80</v>
      </c>
      <c r="H11" t="s">
        <v>154</v>
      </c>
    </row>
    <row r="12" spans="1:16" x14ac:dyDescent="0.25">
      <c r="A12" t="s">
        <v>67</v>
      </c>
      <c r="D12" t="s">
        <v>153</v>
      </c>
      <c r="F12" s="2">
        <f>SUM(4*150)</f>
        <v>600</v>
      </c>
      <c r="H12" t="s">
        <v>154</v>
      </c>
    </row>
    <row r="13" spans="1:16" x14ac:dyDescent="0.25">
      <c r="A13" t="s">
        <v>48</v>
      </c>
      <c r="F13" s="2">
        <v>250</v>
      </c>
      <c r="H13" t="s">
        <v>154</v>
      </c>
    </row>
    <row r="14" spans="1:16" x14ac:dyDescent="0.25">
      <c r="A14" t="s">
        <v>69</v>
      </c>
      <c r="F14" s="2">
        <v>50</v>
      </c>
    </row>
    <row r="15" spans="1:16" x14ac:dyDescent="0.25">
      <c r="F15" s="2"/>
      <c r="N15" s="3"/>
      <c r="O15" s="3"/>
      <c r="P15" s="3"/>
    </row>
    <row r="16" spans="1:16" s="3" customFormat="1" x14ac:dyDescent="0.25">
      <c r="A16" s="3" t="s">
        <v>31</v>
      </c>
      <c r="F16" s="9">
        <f>SUM(F3:F14)</f>
        <v>3661</v>
      </c>
      <c r="N16"/>
      <c r="O16"/>
      <c r="P16"/>
    </row>
  </sheetData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10"/>
  <sheetViews>
    <sheetView workbookViewId="0">
      <selection activeCell="F6" sqref="F6"/>
    </sheetView>
  </sheetViews>
  <sheetFormatPr defaultRowHeight="15" x14ac:dyDescent="0.25"/>
  <cols>
    <col min="4" max="4" width="10.5703125" bestFit="1" customWidth="1"/>
  </cols>
  <sheetData>
    <row r="2" spans="1:6" x14ac:dyDescent="0.25">
      <c r="A2" s="3" t="s">
        <v>89</v>
      </c>
    </row>
    <row r="4" spans="1:6" ht="15.75" x14ac:dyDescent="0.25">
      <c r="A4" s="14" t="s">
        <v>105</v>
      </c>
    </row>
    <row r="6" spans="1:6" x14ac:dyDescent="0.25">
      <c r="A6" t="s">
        <v>106</v>
      </c>
      <c r="D6">
        <v>2000</v>
      </c>
      <c r="F6" t="s">
        <v>249</v>
      </c>
    </row>
    <row r="7" spans="1:6" x14ac:dyDescent="0.25">
      <c r="A7" t="s">
        <v>108</v>
      </c>
      <c r="D7">
        <v>100</v>
      </c>
      <c r="F7" t="s">
        <v>250</v>
      </c>
    </row>
    <row r="8" spans="1:6" x14ac:dyDescent="0.25">
      <c r="A8" t="s">
        <v>107</v>
      </c>
      <c r="F8" t="s">
        <v>143</v>
      </c>
    </row>
    <row r="9" spans="1:6" x14ac:dyDescent="0.25">
      <c r="A9" t="s">
        <v>141</v>
      </c>
      <c r="F9" t="s">
        <v>142</v>
      </c>
    </row>
    <row r="10" spans="1:6" x14ac:dyDescent="0.25">
      <c r="D10" s="15">
        <f>SUM(D6:D9)</f>
        <v>2100</v>
      </c>
    </row>
  </sheetData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"/>
  <sheetViews>
    <sheetView workbookViewId="0">
      <selection activeCell="N14" sqref="N14"/>
    </sheetView>
  </sheetViews>
  <sheetFormatPr defaultRowHeight="15" x14ac:dyDescent="0.25"/>
  <cols>
    <col min="7" max="7" width="10.5703125" bestFit="1" customWidth="1"/>
    <col min="12" max="12" width="38.85546875" bestFit="1" customWidth="1"/>
  </cols>
  <sheetData>
    <row r="1" spans="1:14" x14ac:dyDescent="0.25">
      <c r="A1" t="s">
        <v>70</v>
      </c>
    </row>
    <row r="3" spans="1:14" x14ac:dyDescent="0.25">
      <c r="A3" t="s">
        <v>74</v>
      </c>
      <c r="D3" t="s">
        <v>75</v>
      </c>
      <c r="G3">
        <f>SUM(2829-1473)</f>
        <v>1356</v>
      </c>
      <c r="H3" t="s">
        <v>76</v>
      </c>
      <c r="L3" t="s">
        <v>77</v>
      </c>
      <c r="M3">
        <v>20</v>
      </c>
    </row>
    <row r="4" spans="1:14" x14ac:dyDescent="0.25">
      <c r="L4" t="s">
        <v>78</v>
      </c>
      <c r="M4">
        <f>SUM(6*15)</f>
        <v>90</v>
      </c>
    </row>
    <row r="5" spans="1:14" x14ac:dyDescent="0.25">
      <c r="D5" t="s">
        <v>88</v>
      </c>
      <c r="L5" t="s">
        <v>138</v>
      </c>
      <c r="M5">
        <v>50</v>
      </c>
    </row>
    <row r="6" spans="1:14" x14ac:dyDescent="0.25">
      <c r="L6" t="s">
        <v>79</v>
      </c>
      <c r="M6">
        <v>20</v>
      </c>
    </row>
    <row r="7" spans="1:14" x14ac:dyDescent="0.25">
      <c r="L7" t="s">
        <v>80</v>
      </c>
      <c r="M7">
        <f>SUM((205/100)*15)</f>
        <v>30.749999999999996</v>
      </c>
    </row>
    <row r="8" spans="1:14" x14ac:dyDescent="0.25">
      <c r="L8" s="10" t="s">
        <v>81</v>
      </c>
      <c r="M8" s="10">
        <f>SUM(M3:M7)</f>
        <v>210.75</v>
      </c>
    </row>
    <row r="10" spans="1:14" x14ac:dyDescent="0.25">
      <c r="A10" t="s">
        <v>72</v>
      </c>
      <c r="C10" t="s">
        <v>99</v>
      </c>
      <c r="G10">
        <f>150*8</f>
        <v>1200</v>
      </c>
    </row>
    <row r="11" spans="1:14" x14ac:dyDescent="0.25">
      <c r="C11" t="s">
        <v>73</v>
      </c>
      <c r="G11">
        <f>5*150</f>
        <v>750</v>
      </c>
    </row>
    <row r="12" spans="1:14" x14ac:dyDescent="0.25">
      <c r="C12" t="s">
        <v>100</v>
      </c>
      <c r="G12">
        <v>150</v>
      </c>
      <c r="L12" t="s">
        <v>251</v>
      </c>
      <c r="M12">
        <f>SUM(G10:G15)</f>
        <v>2800</v>
      </c>
      <c r="N12" t="s">
        <v>253</v>
      </c>
    </row>
    <row r="13" spans="1:14" x14ac:dyDescent="0.25">
      <c r="C13" t="s">
        <v>101</v>
      </c>
      <c r="G13">
        <v>150</v>
      </c>
      <c r="L13" t="s">
        <v>252</v>
      </c>
      <c r="M13">
        <f>G16</f>
        <v>1896.75</v>
      </c>
      <c r="N13" t="s">
        <v>254</v>
      </c>
    </row>
    <row r="14" spans="1:14" x14ac:dyDescent="0.25">
      <c r="C14" t="s">
        <v>82</v>
      </c>
      <c r="G14">
        <v>150</v>
      </c>
      <c r="I14">
        <f>SUM(G10:G14)</f>
        <v>2400</v>
      </c>
    </row>
    <row r="15" spans="1:14" x14ac:dyDescent="0.25">
      <c r="C15" t="s">
        <v>137</v>
      </c>
      <c r="G15">
        <v>400</v>
      </c>
      <c r="J15" t="s">
        <v>158</v>
      </c>
      <c r="K15" t="s">
        <v>154</v>
      </c>
      <c r="M15" s="3">
        <f>SUM(M12:M14)</f>
        <v>4696.75</v>
      </c>
    </row>
    <row r="16" spans="1:14" x14ac:dyDescent="0.25">
      <c r="A16" t="s">
        <v>70</v>
      </c>
      <c r="C16" t="s">
        <v>144</v>
      </c>
      <c r="G16">
        <f>SUM(M8*9)</f>
        <v>1896.75</v>
      </c>
      <c r="I16" t="s">
        <v>247</v>
      </c>
    </row>
    <row r="18" spans="5:7" x14ac:dyDescent="0.25">
      <c r="E18" t="s">
        <v>31</v>
      </c>
      <c r="G18" s="2">
        <f>SUM(G10:G16)</f>
        <v>4696.75</v>
      </c>
    </row>
  </sheetData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" sqref="A2"/>
    </sheetView>
  </sheetViews>
  <sheetFormatPr defaultRowHeight="15" x14ac:dyDescent="0.25"/>
  <cols>
    <col min="1" max="1" width="23.42578125" bestFit="1" customWidth="1"/>
    <col min="3" max="3" width="11.5703125" bestFit="1" customWidth="1"/>
  </cols>
  <sheetData>
    <row r="1" spans="1:4" x14ac:dyDescent="0.25">
      <c r="A1" s="3" t="s">
        <v>90</v>
      </c>
    </row>
    <row r="3" spans="1:4" x14ac:dyDescent="0.25">
      <c r="A3" t="s">
        <v>148</v>
      </c>
      <c r="C3">
        <v>800</v>
      </c>
      <c r="D3" t="s">
        <v>152</v>
      </c>
    </row>
    <row r="4" spans="1:4" x14ac:dyDescent="0.25">
      <c r="A4" t="s">
        <v>149</v>
      </c>
      <c r="C4">
        <v>1300</v>
      </c>
      <c r="D4" t="s">
        <v>152</v>
      </c>
    </row>
    <row r="5" spans="1:4" x14ac:dyDescent="0.25">
      <c r="A5" t="s">
        <v>91</v>
      </c>
      <c r="C5">
        <v>200</v>
      </c>
    </row>
    <row r="6" spans="1:4" x14ac:dyDescent="0.25">
      <c r="A6" t="s">
        <v>92</v>
      </c>
      <c r="C6">
        <v>2000</v>
      </c>
      <c r="D6" t="s">
        <v>157</v>
      </c>
    </row>
    <row r="7" spans="1:4" x14ac:dyDescent="0.25">
      <c r="A7" t="s">
        <v>182</v>
      </c>
    </row>
    <row r="8" spans="1:4" x14ac:dyDescent="0.25">
      <c r="A8" t="s">
        <v>139</v>
      </c>
    </row>
    <row r="9" spans="1:4" x14ac:dyDescent="0.25">
      <c r="A9" t="s">
        <v>150</v>
      </c>
      <c r="C9">
        <v>600</v>
      </c>
    </row>
    <row r="10" spans="1:4" x14ac:dyDescent="0.25">
      <c r="A10" t="s">
        <v>140</v>
      </c>
      <c r="C10">
        <f>SUM(6*50)</f>
        <v>300</v>
      </c>
    </row>
    <row r="11" spans="1:4" x14ac:dyDescent="0.25">
      <c r="A11" t="s">
        <v>93</v>
      </c>
      <c r="D11" t="s">
        <v>151</v>
      </c>
    </row>
    <row r="12" spans="1:4" x14ac:dyDescent="0.25">
      <c r="A12" t="s">
        <v>147</v>
      </c>
      <c r="C12">
        <v>600</v>
      </c>
    </row>
    <row r="13" spans="1:4" x14ac:dyDescent="0.25">
      <c r="A13" s="18">
        <v>43074</v>
      </c>
    </row>
    <row r="14" spans="1:4" x14ac:dyDescent="0.25">
      <c r="A14" s="18" t="s">
        <v>183</v>
      </c>
    </row>
    <row r="15" spans="1:4" x14ac:dyDescent="0.25">
      <c r="A15" s="18">
        <v>42789</v>
      </c>
    </row>
    <row r="17" spans="1:6" x14ac:dyDescent="0.25">
      <c r="B17" t="s">
        <v>31</v>
      </c>
      <c r="C17" s="4">
        <f>SUM(C3:C12)</f>
        <v>5800</v>
      </c>
    </row>
    <row r="19" spans="1:6" x14ac:dyDescent="0.25">
      <c r="A19" t="s">
        <v>134</v>
      </c>
      <c r="E19">
        <f>SUM(360*5)</f>
        <v>1800</v>
      </c>
      <c r="F19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CA704C-0827-44B3-83B7-31179A01A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8F9963-9077-4305-94E6-9F14519B9C06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80129174-c05c-43cc-8e32-21fcbdfe51bb"/>
    <ds:schemaRef ds:uri="http://schemas.microsoft.com/office/infopath/2007/PartnerControls"/>
    <ds:schemaRef ds:uri="http://schemas.openxmlformats.org/package/2006/metadata/core-properties"/>
    <ds:schemaRef ds:uri="958b15ed-c521-4290-b073-2e98d4cc1d7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D17463-45C1-45A2-8DF6-3BE519BCC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PRSF Composer Residency Summary</vt:lpstr>
      <vt:lpstr>Sam Lee</vt:lpstr>
      <vt:lpstr>Daniel Elms</vt:lpstr>
      <vt:lpstr>Brian Irvine</vt:lpstr>
      <vt:lpstr>Hannah Peel, HFC &amp; Volunteers</vt:lpstr>
      <vt:lpstr>Sam Pirt - P&amp;F Homes</vt:lpstr>
      <vt:lpstr>Diverse music - Saz with MamJ</vt:lpstr>
      <vt:lpstr>Open Doors</vt:lpstr>
      <vt:lpstr>Hull Oratorio</vt:lpstr>
      <vt:lpstr>Wyke College</vt:lpstr>
      <vt:lpstr>Hazel Gould &amp; Tom @ Adelaide PS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druryc</dc:creator>
  <cp:lastModifiedBy>Kirsty Sutcliffe</cp:lastModifiedBy>
  <cp:lastPrinted>2017-11-20T15:35:00Z</cp:lastPrinted>
  <dcterms:created xsi:type="dcterms:W3CDTF">2017-09-18T13:03:46Z</dcterms:created>
  <dcterms:modified xsi:type="dcterms:W3CDTF">2017-11-20T16:11:31Z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