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Look Up/A_Budget/"/>
    </mc:Choice>
  </mc:AlternateContent>
  <bookViews>
    <workbookView xWindow="0" yWindow="0" windowWidth="19200" windowHeight="5178" tabRatio="801" activeTab="1"/>
  </bookViews>
  <sheets>
    <sheet name="Summary" sheetId="1" r:id="rId1"/>
    <sheet name="Opps-Threats" sheetId="19" r:id="rId2"/>
    <sheet name="Live C030" sheetId="17" r:id="rId3"/>
    <sheet name="Blade C031 (closed)" sheetId="2" r:id="rId4"/>
    <sheet name="Deep Dobro C033 (closed)" sheetId="4" r:id="rId5"/>
    <sheet name="Pinsky C034" sheetId="5" r:id="rId6"/>
    <sheet name="Transmigration C035 (closed)" sheetId="6" r:id="rId7"/>
    <sheet name="P Quay Morgan C036 (closed)" sheetId="7" r:id="rId8"/>
    <sheet name="HSAD Bob C038" sheetId="9" r:id="rId9"/>
    <sheet name="GFSmith Paper City C039" sheetId="18" r:id="rId10"/>
    <sheet name="Deep Kovats C041(closed)" sheetId="11" r:id="rId11"/>
    <sheet name="RIBA C042" sheetId="12" r:id="rId12"/>
    <sheet name="P Quay Xmas C044" sheetId="14" r:id="rId13"/>
    <sheet name="Deep No3 C045" sheetId="13" r:id="rId14"/>
    <sheet name="Hull Xmas Lts C046" sheetId="16" r:id="rId15"/>
    <sheet name="Forecast for Management accs" sheetId="20" r:id="rId16"/>
    <sheet name="Open PO's as at 11.12.17" sheetId="21" r:id="rId17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13" l="1"/>
  <c r="G8" i="12"/>
  <c r="G6" i="12"/>
  <c r="G6" i="9"/>
  <c r="Y6" i="18"/>
  <c r="Y7" i="18"/>
  <c r="Z7" i="18"/>
  <c r="Y5" i="18"/>
  <c r="W8" i="18"/>
  <c r="AA10" i="1"/>
  <c r="X8" i="18"/>
  <c r="D12" i="13"/>
  <c r="D4" i="13"/>
  <c r="F15" i="1"/>
  <c r="F13" i="1"/>
  <c r="W10" i="9"/>
  <c r="AC11" i="1"/>
  <c r="AA11" i="1"/>
  <c r="X10" i="13"/>
  <c r="X5" i="13"/>
  <c r="X6" i="13"/>
  <c r="X7" i="13"/>
  <c r="X8" i="13"/>
  <c r="X9" i="13"/>
  <c r="X11" i="13"/>
  <c r="D8" i="13"/>
  <c r="D10" i="13"/>
  <c r="D8" i="12"/>
  <c r="F14" i="1"/>
  <c r="F20" i="1"/>
  <c r="V26" i="17"/>
  <c r="V23" i="17"/>
  <c r="V22" i="17"/>
  <c r="W12" i="13"/>
  <c r="AC15" i="1"/>
  <c r="X6" i="9"/>
  <c r="B25" i="21"/>
  <c r="B8" i="21"/>
  <c r="U6" i="9"/>
  <c r="U7" i="17"/>
  <c r="U26" i="17"/>
  <c r="U25" i="17"/>
  <c r="U7" i="11"/>
  <c r="U10" i="12"/>
  <c r="G7" i="12"/>
  <c r="U22" i="17"/>
  <c r="D7" i="12"/>
  <c r="D6" i="12"/>
  <c r="D7" i="11"/>
  <c r="G9" i="17"/>
  <c r="V24" i="17"/>
  <c r="X9" i="12"/>
  <c r="W9" i="12"/>
  <c r="Z9" i="12"/>
  <c r="D11" i="11"/>
  <c r="D5" i="17"/>
  <c r="F19" i="1"/>
  <c r="T7" i="17"/>
  <c r="T26" i="17"/>
  <c r="T25" i="17"/>
  <c r="V6" i="13"/>
  <c r="D6" i="13"/>
  <c r="T7" i="12"/>
  <c r="U23" i="17"/>
  <c r="T22" i="17"/>
  <c r="D7" i="13"/>
  <c r="D9" i="13"/>
  <c r="V12" i="11"/>
  <c r="U12" i="11"/>
  <c r="T7" i="11"/>
  <c r="T23" i="17"/>
  <c r="Y24" i="17"/>
  <c r="Y25" i="17"/>
  <c r="Z21" i="12"/>
  <c r="D4" i="17"/>
  <c r="D11" i="17"/>
  <c r="F18" i="1"/>
  <c r="F21" i="1"/>
  <c r="S6" i="12"/>
  <c r="S7" i="11"/>
  <c r="Z17" i="12"/>
  <c r="G9" i="11"/>
  <c r="H12" i="12"/>
  <c r="L14" i="1"/>
  <c r="G8" i="11"/>
  <c r="D8" i="9"/>
  <c r="W10" i="12"/>
  <c r="X10" i="12"/>
  <c r="R6" i="12"/>
  <c r="Z10" i="12"/>
  <c r="D9" i="11"/>
  <c r="R7" i="11"/>
  <c r="D8" i="11"/>
  <c r="E7" i="18"/>
  <c r="E6" i="18"/>
  <c r="Y5" i="7"/>
  <c r="Y7" i="7"/>
  <c r="Y9" i="7"/>
  <c r="Y10" i="7"/>
  <c r="W6" i="7"/>
  <c r="W7" i="7"/>
  <c r="W8" i="7"/>
  <c r="W9" i="7"/>
  <c r="W10" i="7"/>
  <c r="W5" i="7"/>
  <c r="D9" i="6"/>
  <c r="F11" i="1"/>
  <c r="F8" i="1"/>
  <c r="X7" i="9"/>
  <c r="Y7" i="9"/>
  <c r="AA7" i="9"/>
  <c r="R22" i="17"/>
  <c r="Q7" i="11"/>
  <c r="X19" i="1"/>
  <c r="Y19" i="1"/>
  <c r="Z19" i="1"/>
  <c r="AA19" i="1"/>
  <c r="W19" i="1"/>
  <c r="H16" i="1"/>
  <c r="H17" i="1"/>
  <c r="Q22" i="17"/>
  <c r="Q27" i="17"/>
  <c r="R27" i="17"/>
  <c r="S27" i="17"/>
  <c r="T27" i="17"/>
  <c r="U27" i="17"/>
  <c r="V27" i="17"/>
  <c r="X27" i="17"/>
  <c r="Y26" i="17"/>
  <c r="Y23" i="17"/>
  <c r="Y22" i="17"/>
  <c r="W27" i="17"/>
  <c r="Y27" i="17"/>
  <c r="B6" i="19"/>
  <c r="E6" i="20"/>
  <c r="C7" i="20"/>
  <c r="C6" i="20"/>
  <c r="N6" i="20"/>
  <c r="S5" i="20"/>
  <c r="S6" i="20"/>
  <c r="S7" i="20"/>
  <c r="S8" i="20"/>
  <c r="S9" i="20"/>
  <c r="S10" i="20"/>
  <c r="S11" i="20"/>
  <c r="S12" i="20"/>
  <c r="S13" i="20"/>
  <c r="S14" i="20"/>
  <c r="S4" i="20"/>
  <c r="R15" i="20"/>
  <c r="Q15" i="20"/>
  <c r="N5" i="20"/>
  <c r="N7" i="20"/>
  <c r="N8" i="20"/>
  <c r="N9" i="20"/>
  <c r="N10" i="20"/>
  <c r="N11" i="20"/>
  <c r="N12" i="20"/>
  <c r="N13" i="20"/>
  <c r="N14" i="20"/>
  <c r="N4" i="20"/>
  <c r="M15" i="20"/>
  <c r="L15" i="20"/>
  <c r="K15" i="20"/>
  <c r="J15" i="20"/>
  <c r="I15" i="20"/>
  <c r="H15" i="20"/>
  <c r="G15" i="20"/>
  <c r="F15" i="20"/>
  <c r="E15" i="20"/>
  <c r="N15" i="20"/>
  <c r="C15" i="20"/>
  <c r="AD18" i="1"/>
  <c r="AD22" i="1"/>
  <c r="X11" i="17"/>
  <c r="F7" i="1"/>
  <c r="D10" i="4"/>
  <c r="D8" i="4"/>
  <c r="H12" i="13"/>
  <c r="G12" i="13"/>
  <c r="B20" i="6"/>
  <c r="D6" i="6"/>
  <c r="D7" i="6"/>
  <c r="D6" i="9"/>
  <c r="L17" i="1"/>
  <c r="L16" i="1"/>
  <c r="L15" i="1"/>
  <c r="F9" i="1"/>
  <c r="I9" i="1"/>
  <c r="I21" i="1"/>
  <c r="I20" i="1"/>
  <c r="I19" i="1"/>
  <c r="I18" i="1"/>
  <c r="I17" i="1"/>
  <c r="I16" i="1"/>
  <c r="I15" i="1"/>
  <c r="I14" i="1"/>
  <c r="I13" i="1"/>
  <c r="I12" i="1"/>
  <c r="AF12" i="1"/>
  <c r="I11" i="1"/>
  <c r="I10" i="1"/>
  <c r="I8" i="1"/>
  <c r="I7" i="1"/>
  <c r="I6" i="1"/>
  <c r="A21" i="18"/>
  <c r="D6" i="7"/>
  <c r="H10" i="9"/>
  <c r="I10" i="9"/>
  <c r="H10" i="6"/>
  <c r="O11" i="17"/>
  <c r="Z6" i="18"/>
  <c r="Z5" i="18"/>
  <c r="W7" i="12"/>
  <c r="W8" i="12"/>
  <c r="W6" i="12"/>
  <c r="X7" i="12"/>
  <c r="X8" i="12"/>
  <c r="X6" i="12"/>
  <c r="D12" i="12"/>
  <c r="Z8" i="12"/>
  <c r="Z6" i="12"/>
  <c r="Z7" i="12"/>
  <c r="Z8" i="18"/>
  <c r="H12" i="11"/>
  <c r="L13" i="1"/>
  <c r="Z12" i="12"/>
  <c r="B12" i="19"/>
  <c r="D6" i="11"/>
  <c r="AA18" i="1"/>
  <c r="AA20" i="1"/>
  <c r="AA21" i="1"/>
  <c r="Y6" i="13"/>
  <c r="Y7" i="13"/>
  <c r="Y8" i="13"/>
  <c r="Y9" i="13"/>
  <c r="Y10" i="13"/>
  <c r="Y11" i="13"/>
  <c r="Y5" i="13"/>
  <c r="O12" i="13"/>
  <c r="P12" i="13"/>
  <c r="Q12" i="13"/>
  <c r="R12" i="13"/>
  <c r="S12" i="13"/>
  <c r="T12" i="13"/>
  <c r="U12" i="13"/>
  <c r="V12" i="13"/>
  <c r="AA15" i="1"/>
  <c r="N12" i="13"/>
  <c r="AA7" i="13"/>
  <c r="AA8" i="13"/>
  <c r="AA9" i="13"/>
  <c r="AA10" i="13"/>
  <c r="AA11" i="13"/>
  <c r="AA5" i="13"/>
  <c r="I8" i="18"/>
  <c r="L10" i="1"/>
  <c r="H8" i="18"/>
  <c r="H11" i="7"/>
  <c r="D19" i="2"/>
  <c r="D16" i="2"/>
  <c r="D13" i="2"/>
  <c r="D17" i="2"/>
  <c r="X12" i="13"/>
  <c r="AA6" i="13"/>
  <c r="Y12" i="13"/>
  <c r="AA12" i="13"/>
  <c r="X8" i="2"/>
  <c r="X9" i="2"/>
  <c r="X10" i="2"/>
  <c r="X11" i="2"/>
  <c r="X12" i="2"/>
  <c r="X13" i="2"/>
  <c r="X14" i="2"/>
  <c r="X15" i="2"/>
  <c r="X16" i="2"/>
  <c r="X17" i="2"/>
  <c r="X18" i="2"/>
  <c r="X19" i="2"/>
  <c r="X21" i="2"/>
  <c r="N12" i="4"/>
  <c r="O12" i="4"/>
  <c r="P12" i="4"/>
  <c r="Q12" i="4"/>
  <c r="R12" i="4"/>
  <c r="S12" i="4"/>
  <c r="T12" i="4"/>
  <c r="U12" i="4"/>
  <c r="V12" i="4"/>
  <c r="G12" i="4"/>
  <c r="K7" i="1"/>
  <c r="AF7" i="1"/>
  <c r="H12" i="4"/>
  <c r="L7" i="1"/>
  <c r="X10" i="5"/>
  <c r="AC6" i="1"/>
  <c r="Z5" i="17"/>
  <c r="K10" i="1"/>
  <c r="AF10" i="1"/>
  <c r="L11" i="1"/>
  <c r="L9" i="1"/>
  <c r="L8" i="1"/>
  <c r="G20" i="2"/>
  <c r="X20" i="2"/>
  <c r="L19" i="2"/>
  <c r="L17" i="2"/>
  <c r="W17" i="2"/>
  <c r="L16" i="2"/>
  <c r="W16" i="2"/>
  <c r="L12" i="2"/>
  <c r="W12" i="2"/>
  <c r="L6" i="5"/>
  <c r="L9" i="17"/>
  <c r="Q20" i="1"/>
  <c r="L7" i="17"/>
  <c r="Y7" i="17"/>
  <c r="L5" i="17"/>
  <c r="Q19" i="1"/>
  <c r="L20" i="1"/>
  <c r="L19" i="1"/>
  <c r="L18" i="1"/>
  <c r="K18" i="1"/>
  <c r="AF18" i="1"/>
  <c r="G10" i="5"/>
  <c r="K6" i="1"/>
  <c r="AF6" i="1"/>
  <c r="W21" i="2"/>
  <c r="W6" i="2"/>
  <c r="W7" i="2"/>
  <c r="W8" i="2"/>
  <c r="W9" i="2"/>
  <c r="W10" i="2"/>
  <c r="W11" i="2"/>
  <c r="W13" i="2"/>
  <c r="W14" i="2"/>
  <c r="W15" i="2"/>
  <c r="W18" i="2"/>
  <c r="W19" i="2"/>
  <c r="W20" i="2"/>
  <c r="V22" i="2"/>
  <c r="U22" i="2"/>
  <c r="Z5" i="1"/>
  <c r="T22" i="2"/>
  <c r="S22" i="2"/>
  <c r="R22" i="2"/>
  <c r="Q22" i="2"/>
  <c r="V5" i="1"/>
  <c r="P22" i="2"/>
  <c r="U5" i="1"/>
  <c r="O22" i="2"/>
  <c r="T5" i="1"/>
  <c r="M22" i="2"/>
  <c r="R5" i="1"/>
  <c r="L22" i="2"/>
  <c r="H22" i="2"/>
  <c r="L5" i="1"/>
  <c r="D22" i="2"/>
  <c r="N22" i="2"/>
  <c r="S5" i="1"/>
  <c r="Q10" i="6"/>
  <c r="V8" i="1"/>
  <c r="R10" i="6"/>
  <c r="W8" i="1"/>
  <c r="S10" i="6"/>
  <c r="T10" i="6"/>
  <c r="U10" i="6"/>
  <c r="V10" i="6"/>
  <c r="Y20" i="1"/>
  <c r="Z20" i="1"/>
  <c r="M11" i="17"/>
  <c r="N11" i="17"/>
  <c r="P11" i="17"/>
  <c r="Q11" i="17"/>
  <c r="R11" i="17"/>
  <c r="S11" i="17"/>
  <c r="T11" i="17"/>
  <c r="U11" i="17"/>
  <c r="V11" i="17"/>
  <c r="W11" i="17"/>
  <c r="F4" i="18"/>
  <c r="Z10" i="1"/>
  <c r="N8" i="18"/>
  <c r="R10" i="1"/>
  <c r="O8" i="18"/>
  <c r="S10" i="1"/>
  <c r="P8" i="18"/>
  <c r="T10" i="1"/>
  <c r="Q8" i="18"/>
  <c r="U10" i="1"/>
  <c r="R8" i="18"/>
  <c r="V10" i="1"/>
  <c r="S8" i="18"/>
  <c r="W10" i="1"/>
  <c r="T8" i="18"/>
  <c r="X10" i="1"/>
  <c r="U8" i="18"/>
  <c r="Y10" i="1"/>
  <c r="V8" i="18"/>
  <c r="M8" i="18"/>
  <c r="Q10" i="1"/>
  <c r="E8" i="18"/>
  <c r="L8" i="18"/>
  <c r="K8" i="18"/>
  <c r="M12" i="4"/>
  <c r="R7" i="1"/>
  <c r="L12" i="4"/>
  <c r="D10" i="6"/>
  <c r="D9" i="17"/>
  <c r="Z9" i="17"/>
  <c r="D12" i="11"/>
  <c r="F29" i="1"/>
  <c r="F30" i="1"/>
  <c r="Y10" i="17"/>
  <c r="G10" i="17"/>
  <c r="K19" i="1"/>
  <c r="AF19" i="1"/>
  <c r="X5" i="4"/>
  <c r="X7" i="4"/>
  <c r="X8" i="4"/>
  <c r="X9" i="4"/>
  <c r="X10" i="4"/>
  <c r="X11" i="4"/>
  <c r="X6" i="4"/>
  <c r="H10" i="5"/>
  <c r="L6" i="1"/>
  <c r="F38" i="1"/>
  <c r="F43" i="1"/>
  <c r="F42" i="1"/>
  <c r="F41" i="1"/>
  <c r="F40" i="1"/>
  <c r="F39" i="1"/>
  <c r="H22" i="1"/>
  <c r="D27" i="2"/>
  <c r="D31" i="2"/>
  <c r="F32" i="1"/>
  <c r="F31" i="1"/>
  <c r="F33" i="1"/>
  <c r="F5" i="1"/>
  <c r="AE12" i="1"/>
  <c r="AH12" i="1"/>
  <c r="AE16" i="1"/>
  <c r="G13" i="16"/>
  <c r="G10" i="14"/>
  <c r="V12" i="12"/>
  <c r="AA14" i="1"/>
  <c r="G12" i="12"/>
  <c r="K14" i="1"/>
  <c r="AF14" i="1"/>
  <c r="G12" i="11"/>
  <c r="K13" i="1"/>
  <c r="AF13" i="1"/>
  <c r="U10" i="9"/>
  <c r="Z11" i="1"/>
  <c r="V10" i="9"/>
  <c r="T10" i="9"/>
  <c r="Y11" i="1"/>
  <c r="G10" i="9"/>
  <c r="G11" i="7"/>
  <c r="K9" i="1"/>
  <c r="AF9" i="1"/>
  <c r="H11" i="17"/>
  <c r="Q21" i="1"/>
  <c r="R21" i="1"/>
  <c r="S21" i="1"/>
  <c r="T21" i="1"/>
  <c r="U21" i="1"/>
  <c r="V21" i="1"/>
  <c r="W21" i="1"/>
  <c r="X21" i="1"/>
  <c r="Y21" i="1"/>
  <c r="Z21" i="1"/>
  <c r="P21" i="1"/>
  <c r="N21" i="1"/>
  <c r="R20" i="1"/>
  <c r="S20" i="1"/>
  <c r="T20" i="1"/>
  <c r="U20" i="1"/>
  <c r="V20" i="1"/>
  <c r="W20" i="1"/>
  <c r="X20" i="1"/>
  <c r="P20" i="1"/>
  <c r="N20" i="1"/>
  <c r="R19" i="1"/>
  <c r="S19" i="1"/>
  <c r="T19" i="1"/>
  <c r="U19" i="1"/>
  <c r="V19" i="1"/>
  <c r="P19" i="1"/>
  <c r="N19" i="1"/>
  <c r="AC18" i="1"/>
  <c r="Q18" i="1"/>
  <c r="R18" i="1"/>
  <c r="S18" i="1"/>
  <c r="T18" i="1"/>
  <c r="U18" i="1"/>
  <c r="V18" i="1"/>
  <c r="W18" i="1"/>
  <c r="X18" i="1"/>
  <c r="Y18" i="1"/>
  <c r="Z18" i="1"/>
  <c r="P18" i="1"/>
  <c r="N18" i="1"/>
  <c r="X8" i="1"/>
  <c r="Y8" i="1"/>
  <c r="Z8" i="1"/>
  <c r="AA8" i="1"/>
  <c r="K22" i="2"/>
  <c r="P5" i="1"/>
  <c r="W7" i="16"/>
  <c r="W13" i="16"/>
  <c r="J10" i="14"/>
  <c r="K10" i="14"/>
  <c r="L10" i="14"/>
  <c r="M10" i="14"/>
  <c r="N10" i="14"/>
  <c r="O10" i="14"/>
  <c r="P10" i="14"/>
  <c r="Q10" i="14"/>
  <c r="R10" i="14"/>
  <c r="S10" i="14"/>
  <c r="T10" i="14"/>
  <c r="I10" i="14"/>
  <c r="W6" i="14"/>
  <c r="W7" i="14"/>
  <c r="W8" i="14"/>
  <c r="W10" i="14"/>
  <c r="W9" i="14"/>
  <c r="W5" i="14"/>
  <c r="X12" i="12"/>
  <c r="X6" i="11"/>
  <c r="X7" i="11"/>
  <c r="X8" i="11"/>
  <c r="X9" i="11"/>
  <c r="X10" i="11"/>
  <c r="X11" i="11"/>
  <c r="X5" i="11"/>
  <c r="Y6" i="9"/>
  <c r="AA6" i="9"/>
  <c r="Y8" i="9"/>
  <c r="Y9" i="9"/>
  <c r="Y5" i="9"/>
  <c r="Z6" i="5"/>
  <c r="Z7" i="5"/>
  <c r="Z8" i="5"/>
  <c r="Z10" i="5"/>
  <c r="G12" i="5"/>
  <c r="Z9" i="5"/>
  <c r="Z5" i="5"/>
  <c r="X6" i="6"/>
  <c r="X7" i="6"/>
  <c r="X8" i="6"/>
  <c r="X9" i="6"/>
  <c r="Y6" i="17"/>
  <c r="Z6" i="17"/>
  <c r="Y8" i="17"/>
  <c r="V6" i="16"/>
  <c r="V7" i="16"/>
  <c r="V8" i="16"/>
  <c r="V9" i="16"/>
  <c r="V10" i="16"/>
  <c r="V11" i="16"/>
  <c r="V12" i="16"/>
  <c r="V5" i="16"/>
  <c r="V5" i="14"/>
  <c r="V7" i="14"/>
  <c r="V10" i="14"/>
  <c r="V8" i="14"/>
  <c r="V9" i="14"/>
  <c r="V6" i="14"/>
  <c r="W6" i="11"/>
  <c r="W7" i="11"/>
  <c r="W8" i="11"/>
  <c r="W9" i="11"/>
  <c r="W11" i="11"/>
  <c r="W10" i="11"/>
  <c r="W5" i="11"/>
  <c r="X5" i="9"/>
  <c r="X8" i="9"/>
  <c r="X9" i="9"/>
  <c r="W6" i="4"/>
  <c r="W5" i="4"/>
  <c r="W7" i="4"/>
  <c r="W8" i="4"/>
  <c r="W9" i="4"/>
  <c r="W10" i="4"/>
  <c r="W11" i="4"/>
  <c r="W5" i="6"/>
  <c r="W7" i="6"/>
  <c r="W8" i="6"/>
  <c r="W9" i="6"/>
  <c r="W6" i="6"/>
  <c r="J22" i="2"/>
  <c r="N5" i="1"/>
  <c r="G5" i="6"/>
  <c r="G6" i="2"/>
  <c r="X6" i="2"/>
  <c r="G5" i="2"/>
  <c r="G7" i="2"/>
  <c r="X7" i="2"/>
  <c r="G10" i="6"/>
  <c r="K8" i="1"/>
  <c r="AF8" i="1"/>
  <c r="X5" i="6"/>
  <c r="X5" i="2"/>
  <c r="K17" i="1"/>
  <c r="AF17" i="1"/>
  <c r="K16" i="1"/>
  <c r="AF16" i="1"/>
  <c r="K15" i="1"/>
  <c r="AF15" i="1"/>
  <c r="W5" i="1"/>
  <c r="X5" i="1"/>
  <c r="Y5" i="1"/>
  <c r="AA5" i="1"/>
  <c r="Z13" i="1"/>
  <c r="E4" i="4"/>
  <c r="D4" i="4"/>
  <c r="U10" i="14"/>
  <c r="D4" i="14"/>
  <c r="D10" i="14"/>
  <c r="E5" i="12"/>
  <c r="D5" i="12"/>
  <c r="E4" i="11"/>
  <c r="D4" i="11"/>
  <c r="D4" i="9"/>
  <c r="D10" i="9"/>
  <c r="J11" i="7"/>
  <c r="N9" i="1"/>
  <c r="K11" i="7"/>
  <c r="P9" i="1"/>
  <c r="L11" i="7"/>
  <c r="Q9" i="1"/>
  <c r="M11" i="7"/>
  <c r="R9" i="1"/>
  <c r="N11" i="7"/>
  <c r="S9" i="1"/>
  <c r="O11" i="7"/>
  <c r="T9" i="1"/>
  <c r="P11" i="7"/>
  <c r="U9" i="1"/>
  <c r="Q11" i="7"/>
  <c r="V9" i="1"/>
  <c r="R11" i="7"/>
  <c r="W9" i="1"/>
  <c r="S11" i="7"/>
  <c r="X9" i="1"/>
  <c r="T11" i="7"/>
  <c r="Y9" i="1"/>
  <c r="U11" i="7"/>
  <c r="Z9" i="1"/>
  <c r="D4" i="6"/>
  <c r="J10" i="5"/>
  <c r="N6" i="1"/>
  <c r="K10" i="5"/>
  <c r="P6" i="1"/>
  <c r="L10" i="5"/>
  <c r="Q6" i="1"/>
  <c r="M10" i="5"/>
  <c r="R6" i="1"/>
  <c r="N10" i="5"/>
  <c r="S6" i="1"/>
  <c r="O10" i="5"/>
  <c r="T6" i="1"/>
  <c r="P10" i="5"/>
  <c r="U6" i="1"/>
  <c r="Q10" i="5"/>
  <c r="V6" i="1"/>
  <c r="R10" i="5"/>
  <c r="W6" i="1"/>
  <c r="S10" i="5"/>
  <c r="X6" i="1"/>
  <c r="T10" i="5"/>
  <c r="Y6" i="1"/>
  <c r="U10" i="5"/>
  <c r="Z6" i="1"/>
  <c r="V10" i="5"/>
  <c r="AA6" i="1"/>
  <c r="D4" i="5"/>
  <c r="D10" i="5"/>
  <c r="J12" i="4"/>
  <c r="K12" i="4"/>
  <c r="P7" i="1"/>
  <c r="Q7" i="1"/>
  <c r="S7" i="1"/>
  <c r="T7" i="1"/>
  <c r="U7" i="1"/>
  <c r="V7" i="1"/>
  <c r="W7" i="1"/>
  <c r="X7" i="1"/>
  <c r="Y7" i="1"/>
  <c r="Z7" i="1"/>
  <c r="AA7" i="1"/>
  <c r="N7" i="1"/>
  <c r="E7" i="17"/>
  <c r="D7" i="17"/>
  <c r="K21" i="1"/>
  <c r="AF21" i="1"/>
  <c r="K20" i="1"/>
  <c r="AF20" i="1"/>
  <c r="D8" i="17"/>
  <c r="Z8" i="17"/>
  <c r="K11" i="17"/>
  <c r="J11" i="17"/>
  <c r="G22" i="1"/>
  <c r="X15" i="1"/>
  <c r="V10" i="7"/>
  <c r="V9" i="7"/>
  <c r="V8" i="7"/>
  <c r="Y8" i="7"/>
  <c r="V7" i="7"/>
  <c r="V6" i="7"/>
  <c r="Y6" i="7"/>
  <c r="V5" i="7"/>
  <c r="Y9" i="5"/>
  <c r="Y8" i="5"/>
  <c r="Y7" i="5"/>
  <c r="Y10" i="5"/>
  <c r="Y6" i="5"/>
  <c r="Y5" i="5"/>
  <c r="I5" i="1"/>
  <c r="I22" i="1"/>
  <c r="W24" i="1"/>
  <c r="D4" i="7"/>
  <c r="D11" i="7"/>
  <c r="F22" i="1"/>
  <c r="W5" i="2"/>
  <c r="Q5" i="1"/>
  <c r="U13" i="16"/>
  <c r="T13" i="16"/>
  <c r="S13" i="16"/>
  <c r="R13" i="16"/>
  <c r="Q13" i="16"/>
  <c r="P13" i="16"/>
  <c r="O13" i="16"/>
  <c r="N13" i="16"/>
  <c r="T17" i="1"/>
  <c r="M13" i="16"/>
  <c r="L13" i="16"/>
  <c r="K13" i="16"/>
  <c r="J13" i="16"/>
  <c r="I13" i="16"/>
  <c r="N17" i="1"/>
  <c r="Z15" i="1"/>
  <c r="Y15" i="1"/>
  <c r="W15" i="1"/>
  <c r="V15" i="1"/>
  <c r="U15" i="1"/>
  <c r="T15" i="1"/>
  <c r="S15" i="1"/>
  <c r="R15" i="1"/>
  <c r="Q15" i="1"/>
  <c r="P15" i="1"/>
  <c r="U12" i="12"/>
  <c r="Z14" i="1"/>
  <c r="T12" i="12"/>
  <c r="Y14" i="1"/>
  <c r="S12" i="12"/>
  <c r="X14" i="1"/>
  <c r="R12" i="12"/>
  <c r="W14" i="1"/>
  <c r="Q12" i="12"/>
  <c r="V14" i="1"/>
  <c r="P12" i="12"/>
  <c r="U14" i="1"/>
  <c r="O12" i="12"/>
  <c r="T14" i="1"/>
  <c r="N12" i="12"/>
  <c r="S14" i="1"/>
  <c r="M12" i="12"/>
  <c r="R14" i="1"/>
  <c r="L12" i="12"/>
  <c r="Q14" i="1"/>
  <c r="K12" i="12"/>
  <c r="P14" i="1"/>
  <c r="J12" i="12"/>
  <c r="N14" i="1"/>
  <c r="T12" i="11"/>
  <c r="Y13" i="1"/>
  <c r="S12" i="11"/>
  <c r="X13" i="1"/>
  <c r="R12" i="11"/>
  <c r="W13" i="1"/>
  <c r="Q12" i="11"/>
  <c r="V13" i="1"/>
  <c r="P12" i="11"/>
  <c r="U13" i="1"/>
  <c r="O12" i="11"/>
  <c r="T13" i="1"/>
  <c r="N12" i="11"/>
  <c r="S13" i="1"/>
  <c r="M12" i="11"/>
  <c r="R13" i="1"/>
  <c r="L12" i="11"/>
  <c r="Q13" i="1"/>
  <c r="K12" i="11"/>
  <c r="P13" i="1"/>
  <c r="J12" i="11"/>
  <c r="N13" i="1"/>
  <c r="S10" i="9"/>
  <c r="X11" i="1"/>
  <c r="R10" i="9"/>
  <c r="W11" i="1"/>
  <c r="Q10" i="9"/>
  <c r="V11" i="1"/>
  <c r="P10" i="9"/>
  <c r="U11" i="1"/>
  <c r="O10" i="9"/>
  <c r="T11" i="1"/>
  <c r="N10" i="9"/>
  <c r="S11" i="1"/>
  <c r="M10" i="9"/>
  <c r="R11" i="1"/>
  <c r="L10" i="9"/>
  <c r="Q11" i="1"/>
  <c r="K10" i="9"/>
  <c r="P11" i="1"/>
  <c r="J10" i="9"/>
  <c r="N11" i="1"/>
  <c r="P10" i="6"/>
  <c r="U8" i="1"/>
  <c r="O10" i="6"/>
  <c r="T8" i="1"/>
  <c r="N10" i="6"/>
  <c r="S8" i="1"/>
  <c r="M10" i="6"/>
  <c r="R8" i="1"/>
  <c r="L10" i="6"/>
  <c r="Q8" i="1"/>
  <c r="K10" i="6"/>
  <c r="P8" i="1"/>
  <c r="J10" i="6"/>
  <c r="D4" i="16"/>
  <c r="D13" i="16"/>
  <c r="N15" i="1"/>
  <c r="N8" i="1"/>
  <c r="V13" i="16"/>
  <c r="K11" i="1"/>
  <c r="AF11" i="1"/>
  <c r="AA8" i="9"/>
  <c r="AA10" i="9"/>
  <c r="B14" i="19"/>
  <c r="G22" i="2"/>
  <c r="K5" i="1"/>
  <c r="AF5" i="1"/>
  <c r="Y10" i="9"/>
  <c r="F44" i="1"/>
  <c r="G11" i="17"/>
  <c r="Z10" i="17"/>
  <c r="AB10" i="17"/>
  <c r="Y5" i="17"/>
  <c r="AB5" i="17"/>
  <c r="AB6" i="17"/>
  <c r="AH16" i="1"/>
  <c r="AE18" i="1"/>
  <c r="AH18" i="1"/>
  <c r="AE17" i="1"/>
  <c r="AH17" i="1"/>
  <c r="D12" i="4"/>
  <c r="AC22" i="1"/>
  <c r="Z7" i="17"/>
  <c r="Y9" i="17"/>
  <c r="AB9" i="17"/>
  <c r="L11" i="17"/>
  <c r="AB8" i="17"/>
  <c r="AE6" i="1"/>
  <c r="AH6" i="1"/>
  <c r="AE21" i="1"/>
  <c r="AH21" i="1"/>
  <c r="W11" i="7"/>
  <c r="X10" i="6"/>
  <c r="G12" i="6"/>
  <c r="Y8" i="18"/>
  <c r="AE11" i="1"/>
  <c r="AH11" i="1"/>
  <c r="X10" i="9"/>
  <c r="Q22" i="1"/>
  <c r="P22" i="1"/>
  <c r="L22" i="1"/>
  <c r="X12" i="11"/>
  <c r="N22" i="1"/>
  <c r="Z22" i="1"/>
  <c r="Y22" i="1"/>
  <c r="W22" i="1"/>
  <c r="W10" i="6"/>
  <c r="AE8" i="1"/>
  <c r="AH8" i="1"/>
  <c r="X12" i="4"/>
  <c r="G14" i="4"/>
  <c r="W22" i="2"/>
  <c r="X22" i="2"/>
  <c r="AA22" i="1"/>
  <c r="X22" i="1"/>
  <c r="V22" i="1"/>
  <c r="W12" i="4"/>
  <c r="AE19" i="1"/>
  <c r="AH19" i="1"/>
  <c r="AE20" i="1"/>
  <c r="AH20" i="1"/>
  <c r="AE15" i="1"/>
  <c r="AH15" i="1"/>
  <c r="T22" i="1"/>
  <c r="AE14" i="1"/>
  <c r="AH14" i="1"/>
  <c r="W12" i="12"/>
  <c r="W12" i="11"/>
  <c r="AE13" i="1"/>
  <c r="AH13" i="1"/>
  <c r="AE10" i="1"/>
  <c r="AH10" i="1"/>
  <c r="AE9" i="1"/>
  <c r="AH9" i="1"/>
  <c r="V11" i="7"/>
  <c r="AE7" i="1"/>
  <c r="AH7" i="1"/>
  <c r="R22" i="1"/>
  <c r="U22" i="1"/>
  <c r="S22" i="1"/>
  <c r="AE5" i="1"/>
  <c r="G24" i="2"/>
  <c r="AH5" i="1"/>
  <c r="K22" i="1"/>
  <c r="Z11" i="17"/>
  <c r="G13" i="17"/>
  <c r="Y11" i="17"/>
  <c r="G14" i="17"/>
  <c r="AB7" i="17"/>
  <c r="B11" i="19"/>
  <c r="B15" i="19"/>
  <c r="B17" i="19"/>
  <c r="AE22" i="1"/>
  <c r="AF22" i="1"/>
  <c r="W25" i="1"/>
  <c r="W26" i="1"/>
  <c r="G17" i="19"/>
  <c r="G16" i="17"/>
</calcChain>
</file>

<file path=xl/comments1.xml><?xml version="1.0" encoding="utf-8"?>
<comments xmlns="http://schemas.openxmlformats.org/spreadsheetml/2006/main">
  <authors>
    <author>Sutcliffe Kirsty (2017)</author>
    <author>Kirsty Sutcliffe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Sutcliffe Kirsty (2017):</t>
        </r>
        <r>
          <rPr>
            <sz val="9"/>
            <color indexed="81"/>
            <rFont val="Tahoma"/>
            <family val="2"/>
          </rPr>
          <t xml:space="preserve">
£6,710 moved to C036
£420 moved to C038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Sutcliffe Kirsty (2017):</t>
        </r>
        <r>
          <rPr>
            <sz val="9"/>
            <color indexed="81"/>
            <rFont val="Tahoma"/>
            <family val="2"/>
          </rPr>
          <t xml:space="preserve">
£6,710 moved to this budget from C035</t>
        </r>
      </text>
    </comment>
    <comment ref="F11" authorId="1" shapeId="0">
      <text>
        <r>
          <rPr>
            <b/>
            <sz val="9"/>
            <color indexed="81"/>
            <rFont val="Tahoma"/>
            <family val="2"/>
          </rPr>
          <t>Kirsty Sutcliffe:</t>
        </r>
        <r>
          <rPr>
            <sz val="9"/>
            <color indexed="81"/>
            <rFont val="Tahoma"/>
            <family val="2"/>
          </rPr>
          <t xml:space="preserve">
£420 moved from C035</t>
        </r>
      </text>
    </comment>
    <comment ref="F14" authorId="1" shapeId="0">
      <text>
        <r>
          <rPr>
            <b/>
            <sz val="9"/>
            <color indexed="81"/>
            <rFont val="Tahoma"/>
            <family val="2"/>
          </rPr>
          <t>Kirsty Sutcliffe:</t>
        </r>
        <r>
          <rPr>
            <sz val="9"/>
            <color indexed="81"/>
            <rFont val="Tahoma"/>
            <family val="2"/>
          </rPr>
          <t xml:space="preserve">
Additional £14k received from British council re RIBA project-June 2017.
£1,500 moved here from C030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Sutcliffe Kirsty (2017):</t>
        </r>
        <r>
          <rPr>
            <sz val="9"/>
            <color indexed="81"/>
            <rFont val="Tahoma"/>
            <family val="2"/>
          </rPr>
          <t xml:space="preserve">
Taken out partner contribution as RIBA doing the project and we are paying them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Sutcliffe Kirsty (2017):</t>
        </r>
        <r>
          <rPr>
            <sz val="9"/>
            <color indexed="81"/>
            <rFont val="Tahoma"/>
            <family val="2"/>
          </rPr>
          <t xml:space="preserve">
£2,595 added in from underspend on C035.
£1,500 moved to RIBA re marketing.  £2,574 moved to C042 RIBA</t>
        </r>
      </text>
    </comment>
  </commentList>
</comments>
</file>

<file path=xl/comments10.xml><?xml version="1.0" encoding="utf-8"?>
<comments xmlns="http://schemas.openxmlformats.org/spreadsheetml/2006/main">
  <authors>
    <author>Glenn Harley</author>
    <author>Kirsty Sutcliffe</author>
  </authors>
  <commentList>
    <comment ref="V6" authorId="0" shapeId="0">
      <text>
        <r>
          <rPr>
            <b/>
            <sz val="9"/>
            <color indexed="81"/>
            <rFont val="Tahoma"/>
            <family val="2"/>
          </rPr>
          <t>Glenn Harley:</t>
        </r>
        <r>
          <rPr>
            <sz val="9"/>
            <color indexed="81"/>
            <rFont val="Tahoma"/>
            <family val="2"/>
          </rPr>
          <t xml:space="preserve">
They may not invoice this but held just in case</t>
        </r>
      </text>
    </comment>
    <comment ref="D8" authorId="1" shapeId="0">
      <text>
        <r>
          <rPr>
            <b/>
            <sz val="9"/>
            <color indexed="81"/>
            <rFont val="Tahoma"/>
            <family val="2"/>
          </rPr>
          <t>Kirsty Sutcliffe:</t>
        </r>
        <r>
          <rPr>
            <sz val="9"/>
            <color indexed="81"/>
            <rFont val="Tahoma"/>
            <family val="2"/>
          </rPr>
          <t xml:space="preserve">
£157 trasnferred from C041</t>
        </r>
      </text>
    </comment>
  </commentList>
</comments>
</file>

<file path=xl/comments2.xml><?xml version="1.0" encoding="utf-8"?>
<comments xmlns="http://schemas.openxmlformats.org/spreadsheetml/2006/main">
  <authors>
    <author>Sutcliffe Kirsty (2017)</author>
    <author>Kirsty Sutcliffe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Sutcliffe Kirsty (2017):</t>
        </r>
        <r>
          <rPr>
            <sz val="9"/>
            <color indexed="81"/>
            <rFont val="Tahoma"/>
            <family val="2"/>
          </rPr>
          <t xml:space="preserve">
£2,595 been added in here from C035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Sutcliffe Kirsty (2017):</t>
        </r>
        <r>
          <rPr>
            <sz val="9"/>
            <color indexed="81"/>
            <rFont val="Tahoma"/>
            <family val="2"/>
          </rPr>
          <t xml:space="preserve">
£368 relates to Beyond the Stars C025-to be moved? To leave</t>
        </r>
      </text>
    </comment>
    <comment ref="V24" authorId="1" shapeId="0">
      <text>
        <r>
          <rPr>
            <b/>
            <sz val="9"/>
            <color indexed="81"/>
            <rFont val="Tahoma"/>
            <family val="2"/>
          </rPr>
          <t>Kirsty Sutcliffe:</t>
        </r>
        <r>
          <rPr>
            <sz val="9"/>
            <color indexed="81"/>
            <rFont val="Tahoma"/>
            <family val="2"/>
          </rPr>
          <t xml:space="preserve">
Paid in Nov</t>
        </r>
      </text>
    </comment>
  </commentList>
</comments>
</file>

<file path=xl/comments3.xml><?xml version="1.0" encoding="utf-8"?>
<comments xmlns="http://schemas.openxmlformats.org/spreadsheetml/2006/main">
  <authors>
    <author>Robinson Andrea (2017)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>Robinson Andrea (2017):</t>
        </r>
        <r>
          <rPr>
            <sz val="9"/>
            <color indexed="81"/>
            <rFont val="Tahoma"/>
            <family val="2"/>
          </rPr>
          <t xml:space="preserve">
Glenn Harley put this here as Hannah needed to raise a PO for Nayan 8/12/16</t>
        </r>
      </text>
    </comment>
  </commentList>
</comments>
</file>

<file path=xl/comments4.xml><?xml version="1.0" encoding="utf-8"?>
<comments xmlns="http://schemas.openxmlformats.org/spreadsheetml/2006/main">
  <authors>
    <author>Sutcliffe Kirsty (2017)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Sutcliffe Kirsty (2017):</t>
        </r>
        <r>
          <rPr>
            <sz val="9"/>
            <color indexed="81"/>
            <rFont val="Tahoma"/>
            <family val="2"/>
          </rPr>
          <t xml:space="preserve">
£2588 moved to C041
</t>
        </r>
      </text>
    </comment>
  </commentList>
</comments>
</file>

<file path=xl/comments5.xml><?xml version="1.0" encoding="utf-8"?>
<comments xmlns="http://schemas.openxmlformats.org/spreadsheetml/2006/main">
  <authors>
    <author>Sutcliffe Kirsty (2017)</author>
  </authors>
  <commentList>
    <comment ref="D7" authorId="0" shapeId="0">
      <text>
        <r>
          <rPr>
            <b/>
            <sz val="9"/>
            <color indexed="81"/>
            <rFont val="Tahoma"/>
            <family val="2"/>
          </rPr>
          <t>Sutcliffe Kirsty (2017):</t>
        </r>
        <r>
          <rPr>
            <sz val="9"/>
            <color indexed="81"/>
            <rFont val="Tahoma"/>
            <family val="2"/>
          </rPr>
          <t xml:space="preserve">
£6,710 moved to C036</t>
        </r>
      </text>
    </comment>
  </commentList>
</comments>
</file>

<file path=xl/comments6.xml><?xml version="1.0" encoding="utf-8"?>
<comments xmlns="http://schemas.openxmlformats.org/spreadsheetml/2006/main">
  <authors>
    <author>Sutcliffe Kirsty (2017)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Sutcliffe Kirsty (2017):</t>
        </r>
        <r>
          <rPr>
            <sz val="9"/>
            <color indexed="81"/>
            <rFont val="Tahoma"/>
            <family val="2"/>
          </rPr>
          <t xml:space="preserve">
£6,710 added to this budget from C035</t>
        </r>
      </text>
    </comment>
  </commentList>
</comments>
</file>

<file path=xl/comments7.xml><?xml version="1.0" encoding="utf-8"?>
<comments xmlns="http://schemas.openxmlformats.org/spreadsheetml/2006/main">
  <authors>
    <author>Sutcliffe Kirsty (2017)</author>
    <author>Kirsty Sutcliffe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Sutcliffe Kirsty (2017):</t>
        </r>
        <r>
          <rPr>
            <sz val="9"/>
            <color indexed="81"/>
            <rFont val="Tahoma"/>
            <family val="2"/>
          </rPr>
          <t xml:space="preserve">
£3k added in from C035 underspend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Sutcliffe Kirsty (2017):</t>
        </r>
        <r>
          <rPr>
            <sz val="9"/>
            <color indexed="81"/>
            <rFont val="Tahoma"/>
            <family val="2"/>
          </rPr>
          <t xml:space="preserve">
£3k added from savings on C035</t>
        </r>
      </text>
    </comment>
    <comment ref="S6" authorId="0" shapeId="0">
      <text>
        <r>
          <rPr>
            <b/>
            <sz val="9"/>
            <color indexed="81"/>
            <rFont val="Tahoma"/>
            <family val="2"/>
          </rPr>
          <t>Sutcliffe Kirsty (2017):</t>
        </r>
        <r>
          <rPr>
            <sz val="9"/>
            <color indexed="81"/>
            <rFont val="Tahoma"/>
            <family val="2"/>
          </rPr>
          <t xml:space="preserve">
£3k added from savings on C035</t>
        </r>
      </text>
    </comment>
    <comment ref="D8" authorId="1" shapeId="0">
      <text>
        <r>
          <rPr>
            <b/>
            <sz val="9"/>
            <color indexed="81"/>
            <rFont val="Tahoma"/>
            <family val="2"/>
          </rPr>
          <t>Kirsty Sutcliffe:</t>
        </r>
        <r>
          <rPr>
            <sz val="9"/>
            <color indexed="81"/>
            <rFont val="Tahoma"/>
            <family val="2"/>
          </rPr>
          <t xml:space="preserve">
Budget moved from c035</t>
        </r>
      </text>
    </comment>
  </commentList>
</comments>
</file>

<file path=xl/comments8.xml><?xml version="1.0" encoding="utf-8"?>
<comments xmlns="http://schemas.openxmlformats.org/spreadsheetml/2006/main">
  <authors>
    <author>Kirsty Sutcliffe</author>
    <author>Sutcliffe Kirsty (2017)</author>
  </authors>
  <commentList>
    <comment ref="D7" authorId="0" shapeId="0">
      <text>
        <r>
          <rPr>
            <b/>
            <sz val="9"/>
            <color indexed="81"/>
            <rFont val="Tahoma"/>
            <family val="2"/>
          </rPr>
          <t>Kirsty Sutcliffe:</t>
        </r>
        <r>
          <rPr>
            <sz val="9"/>
            <color indexed="81"/>
            <rFont val="Tahoma"/>
            <family val="2"/>
          </rPr>
          <t xml:space="preserve">
£157 transferred to C045</t>
        </r>
      </text>
    </comment>
    <comment ref="D9" authorId="1" shapeId="0">
      <text>
        <r>
          <rPr>
            <b/>
            <sz val="9"/>
            <color indexed="81"/>
            <rFont val="Tahoma"/>
            <family val="2"/>
          </rPr>
          <t>Sutcliffe Kirsty (2017):</t>
        </r>
        <r>
          <rPr>
            <sz val="9"/>
            <color indexed="81"/>
            <rFont val="Tahoma"/>
            <family val="2"/>
          </rPr>
          <t xml:space="preserve">
Added £2,588 from C041
</t>
        </r>
      </text>
    </comment>
  </commentList>
</comments>
</file>

<file path=xl/comments9.xml><?xml version="1.0" encoding="utf-8"?>
<comments xmlns="http://schemas.openxmlformats.org/spreadsheetml/2006/main">
  <authors>
    <author>Sutcliffe Kirsty (2017)</author>
    <author>Kirsty Sutcliffe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Sutcliffe Kirsty (2017):</t>
        </r>
        <r>
          <rPr>
            <sz val="9"/>
            <color indexed="81"/>
            <rFont val="Tahoma"/>
            <family val="2"/>
          </rPr>
          <t xml:space="preserve">
RIBA now keeping this money and we are paying them an additional £36,500 to produce and install the architecture</t>
        </r>
      </text>
    </comment>
    <comment ref="D8" authorId="1" shapeId="0">
      <text>
        <r>
          <rPr>
            <b/>
            <sz val="9"/>
            <color indexed="81"/>
            <rFont val="Tahoma"/>
            <family val="2"/>
          </rPr>
          <t>Kirsty Sutcliffe:</t>
        </r>
        <r>
          <rPr>
            <sz val="9"/>
            <color indexed="81"/>
            <rFont val="Tahoma"/>
            <family val="2"/>
          </rPr>
          <t xml:space="preserve">
£2,574 added from C030
</t>
        </r>
      </text>
    </comment>
  </commentList>
</comments>
</file>

<file path=xl/sharedStrings.xml><?xml version="1.0" encoding="utf-8"?>
<sst xmlns="http://schemas.openxmlformats.org/spreadsheetml/2006/main" count="795" uniqueCount="350">
  <si>
    <t>HULL 2017 "Look Up"</t>
  </si>
  <si>
    <t xml:space="preserve">Indicative Outline Budget </t>
  </si>
  <si>
    <t>H2017</t>
  </si>
  <si>
    <t>Partner</t>
  </si>
  <si>
    <t>May</t>
  </si>
  <si>
    <t>jun</t>
  </si>
  <si>
    <t>jul</t>
  </si>
  <si>
    <t>aug</t>
  </si>
  <si>
    <t>sep</t>
  </si>
  <si>
    <t xml:space="preserve">oct </t>
  </si>
  <si>
    <t>nov</t>
  </si>
  <si>
    <t xml:space="preserve">dec </t>
  </si>
  <si>
    <t>jan</t>
  </si>
  <si>
    <t>feb</t>
  </si>
  <si>
    <t>mar</t>
  </si>
  <si>
    <t>apr</t>
  </si>
  <si>
    <t>Season</t>
  </si>
  <si>
    <t>Project</t>
  </si>
  <si>
    <t>budget</t>
  </si>
  <si>
    <t>Total</t>
  </si>
  <si>
    <t xml:space="preserve">Made in </t>
  </si>
  <si>
    <t>The Deep/Chris Dobrowolski</t>
  </si>
  <si>
    <t>Roots &amp;</t>
  </si>
  <si>
    <t>Transmigration</t>
  </si>
  <si>
    <t>KW</t>
  </si>
  <si>
    <t>RIBA competition</t>
  </si>
  <si>
    <t xml:space="preserve">Tell the </t>
  </si>
  <si>
    <t>World</t>
  </si>
  <si>
    <t>Princes Quay Christmas</t>
  </si>
  <si>
    <t>Hull Christmas Lights</t>
  </si>
  <si>
    <t>Artist site visit budget</t>
  </si>
  <si>
    <t>Feasibility Arup</t>
  </si>
  <si>
    <t>Nayan R&amp;D fee</t>
  </si>
  <si>
    <t>Installation</t>
  </si>
  <si>
    <t>Site visit</t>
  </si>
  <si>
    <t xml:space="preserve">Proposal </t>
  </si>
  <si>
    <t>Detailed Design</t>
  </si>
  <si>
    <t>Fabrication</t>
  </si>
  <si>
    <t>Take down</t>
  </si>
  <si>
    <t>design  Light lab</t>
  </si>
  <si>
    <t>Proposal</t>
  </si>
  <si>
    <t>Design</t>
  </si>
  <si>
    <t>Contingency 5%</t>
  </si>
  <si>
    <t>plus 100 for initial site visit</t>
  </si>
  <si>
    <t>Marketing/PR/doc</t>
  </si>
  <si>
    <t>HSAD/Bob Smith</t>
  </si>
  <si>
    <t>The Deep/Tania Kovats</t>
  </si>
  <si>
    <t>Deep Kovats</t>
  </si>
  <si>
    <t>RIBA</t>
  </si>
  <si>
    <t>The Deep/Roosegaarde</t>
  </si>
  <si>
    <t>Princes Quay Xmas</t>
  </si>
  <si>
    <t>Site visit at £200</t>
  </si>
  <si>
    <t>Hull Xmas Lights</t>
  </si>
  <si>
    <t>Site visit at £100</t>
  </si>
  <si>
    <t>plus 200 for site visit</t>
  </si>
  <si>
    <t>Site visits at £250</t>
  </si>
  <si>
    <t>Site visit at £750</t>
  </si>
  <si>
    <t>TOTAL/Monthly Totals</t>
  </si>
  <si>
    <t>Blade</t>
  </si>
  <si>
    <t>VIK</t>
  </si>
  <si>
    <t>Public info/display/maintenance/security</t>
  </si>
  <si>
    <t>Artist fee</t>
  </si>
  <si>
    <t>Blade cash budget</t>
  </si>
  <si>
    <t>Siemens - route survey and cranage</t>
  </si>
  <si>
    <t>Siemens - value of blade</t>
  </si>
  <si>
    <t>Shoesmith Brand Search</t>
  </si>
  <si>
    <t>Moths</t>
  </si>
  <si>
    <t>fee pinsky</t>
  </si>
  <si>
    <t>total</t>
  </si>
  <si>
    <t>VIK sums are estimated in italics</t>
  </si>
  <si>
    <t>Actual</t>
  </si>
  <si>
    <t>The City Speaks/Michael Pinsky</t>
  </si>
  <si>
    <t>Transmigration/Claire Barber</t>
  </si>
  <si>
    <t>Princes Quay/Claire Morgan</t>
  </si>
  <si>
    <t>Paper City</t>
  </si>
  <si>
    <t>Hull School Art &amp; Design/Bob Smith</t>
  </si>
  <si>
    <t xml:space="preserve">Hull   </t>
  </si>
  <si>
    <t>Begins</t>
  </si>
  <si>
    <t>Jan</t>
  </si>
  <si>
    <t>Feb</t>
  </si>
  <si>
    <t>Mar</t>
  </si>
  <si>
    <t>Apr</t>
  </si>
  <si>
    <t>Jun</t>
  </si>
  <si>
    <t>Jul</t>
  </si>
  <si>
    <t>Aug</t>
  </si>
  <si>
    <t>Aug/Sept</t>
  </si>
  <si>
    <t>Oct/Nov</t>
  </si>
  <si>
    <t>Nov</t>
  </si>
  <si>
    <t>*** Partner projects include marketing within budgets which are not separated out into the marketing line</t>
  </si>
  <si>
    <t>Marketing ***</t>
  </si>
  <si>
    <t>ZK102.K201.C031</t>
  </si>
  <si>
    <t>ZK102.K201.C035</t>
  </si>
  <si>
    <t>ZK102.K202.C031</t>
  </si>
  <si>
    <t>ZK109 K270 C030</t>
  </si>
  <si>
    <t>ZK101 K200 C030</t>
  </si>
  <si>
    <t>ZK102 K115 C030</t>
  </si>
  <si>
    <t>ZK103 K161 C030</t>
  </si>
  <si>
    <t>C&amp;F</t>
  </si>
  <si>
    <t>C&amp;P</t>
  </si>
  <si>
    <t>MDC</t>
  </si>
  <si>
    <t>DR&amp;D</t>
  </si>
  <si>
    <t>T&amp;P</t>
  </si>
  <si>
    <t>ZK106.K244.C031</t>
  </si>
  <si>
    <t>ZK106.K245.C031</t>
  </si>
  <si>
    <t>ZK107.K260.C031</t>
  </si>
  <si>
    <t>VL</t>
  </si>
  <si>
    <t>ZK107.K261.C031</t>
  </si>
  <si>
    <t>ZK109.K270.C031</t>
  </si>
  <si>
    <t>ZK101.K207.C034</t>
  </si>
  <si>
    <t>ZK106.K244.C034</t>
  </si>
  <si>
    <t>ZK107.K136.C034</t>
  </si>
  <si>
    <t>ZK102.K201.C033</t>
  </si>
  <si>
    <t>ZK101.K207.C033</t>
  </si>
  <si>
    <t>ZK107.K136.C033</t>
  </si>
  <si>
    <t>ZK106.K244.C033</t>
  </si>
  <si>
    <t>ZK102.K201.C041</t>
  </si>
  <si>
    <t>ZK101.K207.C041</t>
  </si>
  <si>
    <t>ZK106.K244.C041</t>
  </si>
  <si>
    <t>ZK107.K136.C041</t>
  </si>
  <si>
    <t>ZK109.K270.C041</t>
  </si>
  <si>
    <t>ENCUMB</t>
  </si>
  <si>
    <t>ZK101.K207.C035</t>
  </si>
  <si>
    <t>ZK106.K244.C035</t>
  </si>
  <si>
    <t>ZK107.K136.C035</t>
  </si>
  <si>
    <t>ZK102.K201.C036</t>
  </si>
  <si>
    <t>ZK101.K207.C036</t>
  </si>
  <si>
    <t>ZK106.K244.C036</t>
  </si>
  <si>
    <t>ZK107.K136.C036</t>
  </si>
  <si>
    <t>ZK101.K207.C038</t>
  </si>
  <si>
    <t>ZK101.K207.C042</t>
  </si>
  <si>
    <t>ZK109.K270.C042</t>
  </si>
  <si>
    <t>ZK102.K201.C045</t>
  </si>
  <si>
    <t>ZK101.K207.C045</t>
  </si>
  <si>
    <t>ZK106.K244.C045</t>
  </si>
  <si>
    <t>ZK107.K136.C045</t>
  </si>
  <si>
    <t>ZK109.K270.C045</t>
  </si>
  <si>
    <t>ZK102.K201.C044</t>
  </si>
  <si>
    <t>ZK101.K207.C044</t>
  </si>
  <si>
    <t>ZK106.K244.C044</t>
  </si>
  <si>
    <t>ZK107.K136.C044</t>
  </si>
  <si>
    <t>ZK101.K207.C046</t>
  </si>
  <si>
    <t>ZK109.K270.C033</t>
  </si>
  <si>
    <t>may</t>
  </si>
  <si>
    <t>Routes</t>
  </si>
  <si>
    <t>Encumb</t>
  </si>
  <si>
    <t xml:space="preserve">DR&amp;D </t>
  </si>
  <si>
    <t>Live Management Budget</t>
  </si>
  <si>
    <t>Deep Dobro Budget</t>
  </si>
  <si>
    <t>Pinsky Budget</t>
  </si>
  <si>
    <t>ZK102.K115.C031</t>
  </si>
  <si>
    <t>Remaining</t>
  </si>
  <si>
    <t xml:space="preserve">Budget </t>
  </si>
  <si>
    <t>Professional Fees</t>
  </si>
  <si>
    <t>ZK102.K202.C030</t>
  </si>
  <si>
    <t>Budget</t>
  </si>
  <si>
    <t>C</t>
  </si>
  <si>
    <t>Total/Monthly Totals</t>
  </si>
  <si>
    <t xml:space="preserve">Management inc Deep input* </t>
  </si>
  <si>
    <t>ZK103.K223.C031</t>
  </si>
  <si>
    <t xml:space="preserve">Lead Creatives - Nayan   </t>
  </si>
  <si>
    <t>Siemens</t>
  </si>
  <si>
    <t>The Deep</t>
  </si>
  <si>
    <t>G F Smith</t>
  </si>
  <si>
    <t>Princes Quay Shopping Centre</t>
  </si>
  <si>
    <t>Hull School of Art &amp; Design</t>
  </si>
  <si>
    <t>C031</t>
  </si>
  <si>
    <t>C036</t>
  </si>
  <si>
    <t>C038</t>
  </si>
  <si>
    <t>C042</t>
  </si>
  <si>
    <t>C044</t>
  </si>
  <si>
    <t>C046</t>
  </si>
  <si>
    <t>C039</t>
  </si>
  <si>
    <t>Moved £10k Budget to Blade 16/12/16</t>
  </si>
  <si>
    <t>Green Port</t>
  </si>
  <si>
    <t>Hull City Council</t>
  </si>
  <si>
    <t>Royal Institute of British Architects-RIBA</t>
  </si>
  <si>
    <r>
      <rPr>
        <b/>
        <sz val="11"/>
        <color theme="1"/>
        <rFont val="Calibri"/>
        <family val="2"/>
        <scheme val="minor"/>
      </rPr>
      <t>N. Midland</t>
    </r>
    <r>
      <rPr>
        <sz val="11"/>
        <color theme="1"/>
        <rFont val="Calibri"/>
        <family val="2"/>
        <scheme val="minor"/>
      </rPr>
      <t xml:space="preserve"> - Removal/replacement Street furniture</t>
    </r>
  </si>
  <si>
    <r>
      <rPr>
        <b/>
        <sz val="11"/>
        <color theme="1"/>
        <rFont val="Calibri"/>
        <family val="2"/>
        <scheme val="minor"/>
      </rPr>
      <t>Pearlgreen</t>
    </r>
    <r>
      <rPr>
        <sz val="11"/>
        <color theme="1"/>
        <rFont val="Calibri"/>
        <family val="2"/>
        <scheme val="minor"/>
      </rPr>
      <t xml:space="preserve"> - Support Structures</t>
    </r>
  </si>
  <si>
    <t>ZK106.K128.C031</t>
  </si>
  <si>
    <t>Lighting</t>
  </si>
  <si>
    <t>Security/Pedestrian Control/Police</t>
  </si>
  <si>
    <t>Admin</t>
  </si>
  <si>
    <t>ADM</t>
  </si>
  <si>
    <t>ZK114 K120 C030</t>
  </si>
  <si>
    <r>
      <rPr>
        <b/>
        <sz val="11"/>
        <color theme="1"/>
        <rFont val="Calibri"/>
        <family val="2"/>
        <scheme val="minor"/>
      </rPr>
      <t>Ove Arup</t>
    </r>
    <r>
      <rPr>
        <sz val="11"/>
        <color theme="1"/>
        <rFont val="Calibri"/>
        <family val="2"/>
        <scheme val="minor"/>
      </rPr>
      <t xml:space="preserve"> - Installation</t>
    </r>
  </si>
  <si>
    <t>Moved £5k Budget to Marketing C030 30.1.17</t>
  </si>
  <si>
    <t>CHECK</t>
  </si>
  <si>
    <t>ZK107.K265.C033</t>
  </si>
  <si>
    <t>Stewarding/supervision allowance</t>
  </si>
  <si>
    <t>Launch/Marketing/PR c.10%</t>
  </si>
  <si>
    <t>Licence/Permit All</t>
  </si>
  <si>
    <t>ZK109.K270.C035</t>
  </si>
  <si>
    <t>Launch/Mrktg</t>
  </si>
  <si>
    <t>Artist Comm &amp; Fees</t>
  </si>
  <si>
    <t>Travel, Subsis, Exps</t>
  </si>
  <si>
    <t>ZK102.K117.C039</t>
  </si>
  <si>
    <t>ZK101.K207.C039</t>
  </si>
  <si>
    <t>ZK106.K244.C039</t>
  </si>
  <si>
    <t>c</t>
  </si>
  <si>
    <t>Bob &amp; Roberta Smith</t>
  </si>
  <si>
    <t>ZK109.K201.C038</t>
  </si>
  <si>
    <t>Sign/Marketing Contribution</t>
  </si>
  <si>
    <t>ZK106.K117.C031</t>
  </si>
  <si>
    <t>Booker - Hot Beverages</t>
  </si>
  <si>
    <t>ZK107.K115.C031</t>
  </si>
  <si>
    <t>70022226 R Clark</t>
  </si>
  <si>
    <t>ZK107.K265.C031</t>
  </si>
  <si>
    <t>Check</t>
  </si>
  <si>
    <t>ZK106.K115.C030</t>
  </si>
  <si>
    <t>Travel</t>
  </si>
  <si>
    <t>ZK114.K299.C031</t>
  </si>
  <si>
    <t>Admin Costs</t>
  </si>
  <si>
    <t>Site prep &amp; security</t>
  </si>
  <si>
    <t>£1000 being retained until 2018</t>
  </si>
  <si>
    <t>Jan 18</t>
  </si>
  <si>
    <t>This line includes fees &amp; expenses</t>
  </si>
  <si>
    <t>Moved budget to ZK107.K261.C031</t>
  </si>
  <si>
    <t>Sep</t>
  </si>
  <si>
    <t xml:space="preserve">Oct </t>
  </si>
  <si>
    <t xml:space="preserve">Dec </t>
  </si>
  <si>
    <t>Deep No 3</t>
  </si>
  <si>
    <t>Installation/stewardng</t>
  </si>
  <si>
    <t>Marketing</t>
  </si>
  <si>
    <t>Artist Comm &amp; Fees (payment to RIBA)</t>
  </si>
  <si>
    <t>ZK107.K261.C042</t>
  </si>
  <si>
    <t>Princes Quay Claire Morgan</t>
  </si>
  <si>
    <t>Not happneing</t>
  </si>
  <si>
    <t>Not happening</t>
  </si>
  <si>
    <t>Interview expense to go on artists site visit costs on C030</t>
  </si>
  <si>
    <t>All actual spend</t>
  </si>
  <si>
    <t>Nothing further to pay on this line</t>
  </si>
  <si>
    <t>£6,710 has been moved from this budget to C036</t>
  </si>
  <si>
    <t>Agreement re income from G F Smith:</t>
  </si>
  <si>
    <t>on signature of the agreement between us (which happened in February 2017)</t>
  </si>
  <si>
    <t>on 31 March 2017</t>
  </si>
  <si>
    <t xml:space="preserve"> prior to Hull 2017 making final payment to each Artist (this will be after takedown, in July 2017)</t>
  </si>
  <si>
    <t>The Deep income</t>
  </si>
  <si>
    <t>Once Sam has sent the report through to the Deep, we should claim £55,000 as a first payment (we have agreed to discuss the remaining payment schedule once this has been done).</t>
  </si>
  <si>
    <t>The payment should go into the various Deep budgets:</t>
  </si>
  <si>
    <t>£20,000 into C033 Chris Dobrowolski</t>
  </si>
  <si>
    <t>£15,000 into C045 Deep No 3</t>
  </si>
  <si>
    <t>C034</t>
  </si>
  <si>
    <t>C033</t>
  </si>
  <si>
    <t>C035</t>
  </si>
  <si>
    <t>C041</t>
  </si>
  <si>
    <t>C045</t>
  </si>
  <si>
    <t>Project code</t>
  </si>
  <si>
    <t>Opportunity/Threats to overall Look Up budget</t>
  </si>
  <si>
    <t>Opportunities</t>
  </si>
  <si>
    <t>Sales of stand to Siemens</t>
  </si>
  <si>
    <t>Threats</t>
  </si>
  <si>
    <t>Actual overspend on Blade</t>
  </si>
  <si>
    <t>Projected overspend on C030</t>
  </si>
  <si>
    <t xml:space="preserve">Blade making good costs </t>
  </si>
  <si>
    <t>Potential budget remaining to utilise on other Look Up projects</t>
  </si>
  <si>
    <t>£55k was received on 5th June from the Deep</t>
  </si>
  <si>
    <t>Invigilation</t>
  </si>
  <si>
    <t>Amounts transferred to other budgets:</t>
  </si>
  <si>
    <t>Moved to C036</t>
  </si>
  <si>
    <t>Moved to C038</t>
  </si>
  <si>
    <t>Moved to C030</t>
  </si>
  <si>
    <t>Confirmed in email from Garry Taylor to Sam Hunt on 3rd July 2017</t>
  </si>
  <si>
    <t>*the management total also includes the fees paid to HC/AK prior to April 2016 and Hazel and Andrews expenses</t>
  </si>
  <si>
    <t>C030</t>
  </si>
  <si>
    <t>Deep Dobro</t>
  </si>
  <si>
    <t>GF Smith</t>
  </si>
  <si>
    <t>HSAD</t>
  </si>
  <si>
    <t>Pinsky</t>
  </si>
  <si>
    <t>Princes Quay</t>
  </si>
  <si>
    <t>Management</t>
  </si>
  <si>
    <t>Budget remainder</t>
  </si>
  <si>
    <t>Forecast for Management accounts as at 17.07.17</t>
  </si>
  <si>
    <t>Actual per YTD</t>
  </si>
  <si>
    <t>Actual as end of June (per mgmt acc)</t>
  </si>
  <si>
    <t>Hazel fee</t>
  </si>
  <si>
    <t>Andrew fee</t>
  </si>
  <si>
    <t>PO relates to making good costs at £10k to HCC</t>
  </si>
  <si>
    <t>Additional £14k from British Council</t>
  </si>
  <si>
    <t>ZK109.K270.C038</t>
  </si>
  <si>
    <t>Launch costs</t>
  </si>
  <si>
    <t>Clare Morgan and Bob and Roberta smith coming out of this marketing budget</t>
  </si>
  <si>
    <t>Additional costs on C038 re sign and launch night costs</t>
  </si>
  <si>
    <t>Not got this in budget currently, to increase budget using money from Siemens</t>
  </si>
  <si>
    <t>ZK106.K244.C038</t>
  </si>
  <si>
    <t>Technical Design, engineering &amp; CAD</t>
  </si>
  <si>
    <t>Move £420 to C038 and close down C035</t>
  </si>
  <si>
    <t>£420 has been moved to C038</t>
  </si>
  <si>
    <t>Project to be closed as 11.09.17</t>
  </si>
  <si>
    <t>£1,114 re ZK106.K244.C041 wasn't spent in August as forecast, therefore moved to Sept</t>
  </si>
  <si>
    <t>To cover costs of deposits and Sewell costs (may get deposits back)</t>
  </si>
  <si>
    <t>Money received and has been posted to ZK800.K005.0000.SIEM (To be amended to ZK800.K005.C030)</t>
  </si>
  <si>
    <t>Enc</t>
  </si>
  <si>
    <t>Security (&amp; site compound £1781)</t>
  </si>
  <si>
    <t>Currently over budget, until such time that get any deposit back from Wykeland</t>
  </si>
  <si>
    <t>Breakdown of POs on ZK109.K270.C042:</t>
  </si>
  <si>
    <t>ZK109.K115.C038</t>
  </si>
  <si>
    <t>ZK106.K115.C041</t>
  </si>
  <si>
    <t>£3,180 Tanya not invoiced in Sept, to move to October</t>
  </si>
  <si>
    <t>£369 not invoiced to move to Oct</t>
  </si>
  <si>
    <t xml:space="preserve">Allocated £1k for Moths to Proposal line </t>
  </si>
  <si>
    <t>costs to add in</t>
  </si>
  <si>
    <t>Hand Sweep of Trinity Square in relation to the A Hall for Hull project by  Street Scene Technical Unit</t>
  </si>
  <si>
    <t>Additonal costs (see breakdown below)</t>
  </si>
  <si>
    <t>Additional risk to intial budget</t>
  </si>
  <si>
    <t xml:space="preserve">Amounts greater </t>
  </si>
  <si>
    <t>than budget</t>
  </si>
  <si>
    <t>Additional costs on RIBA</t>
  </si>
  <si>
    <t>HC expense allowance</t>
  </si>
  <si>
    <t>AK expense allowance</t>
  </si>
  <si>
    <t>Sam Wilkinson fee</t>
  </si>
  <si>
    <t>updated cashflow and added budget into this line from takedown &amp; stewarding-08.11.17</t>
  </si>
  <si>
    <t>Other Misc costs</t>
  </si>
  <si>
    <t>Potentially could be less as run rate on expenses not as high as potentially thought</t>
  </si>
  <si>
    <t>Hazel chasing for sign invoice</t>
  </si>
  <si>
    <t>ZK107.K136.C042</t>
  </si>
  <si>
    <t>Additional site costs re Tim</t>
  </si>
  <si>
    <t xml:space="preserve">£9k deposit paid out of here to wykeland. </t>
  </si>
  <si>
    <t>Estimate</t>
  </si>
  <si>
    <t>As at 21.11.17 it was agreed on a call with RIBA additional liability would be  (added onto fee line to RIBA above)</t>
  </si>
  <si>
    <t>£5450 due to HSAD, not invoiced in Nov as expected</t>
  </si>
  <si>
    <t>ZK112.K261.C042</t>
  </si>
  <si>
    <t>ZK106.K245.C045</t>
  </si>
  <si>
    <t>New  PO for Hazel Colquhoun expenses  Look Up.</t>
  </si>
  <si>
    <t>New PO for Andrew Knight expenses  Look Up.</t>
  </si>
  <si>
    <t>PO for Andrew Knight Fee for Look Up. New Po to account for Sam W fees into the budget.</t>
  </si>
  <si>
    <t>PO for Hazel Colquhoun Fee for Look Up. New Po to account for Sam W fees into the budget.</t>
  </si>
  <si>
    <t>C030:</t>
  </si>
  <si>
    <t>Michael Pinsky - Tidal Barrier</t>
  </si>
  <si>
    <t>C034:</t>
  </si>
  <si>
    <t>50% of the fee for Bob and Roberta Smith sign for Hull School of Art and Design</t>
  </si>
  <si>
    <t>C038:</t>
  </si>
  <si>
    <t>Event Manager for Paper City</t>
  </si>
  <si>
    <t>C039:</t>
  </si>
  <si>
    <t>Look Up - Artist Fees for the Deep commission - Number 3</t>
  </si>
  <si>
    <t>Look Up (FLOE): Pedestrian Barrier x 8 units including delivery and collection</t>
  </si>
  <si>
    <t>C042:</t>
  </si>
  <si>
    <t>C045:</t>
  </si>
  <si>
    <t>Open PO's as at 11.12.17</t>
  </si>
  <si>
    <t>£20,000 into C034 Tania Kovats</t>
  </si>
  <si>
    <t>Moved £2,574 to C042 RIBA</t>
  </si>
  <si>
    <t>dec</t>
  </si>
  <si>
    <t>jan 18</t>
  </si>
  <si>
    <t>x</t>
  </si>
  <si>
    <t>To Close?</t>
  </si>
  <si>
    <t>Deposits</t>
  </si>
  <si>
    <t>Paid</t>
  </si>
  <si>
    <t>Received</t>
  </si>
  <si>
    <t>NB Deposit</t>
  </si>
  <si>
    <t>C030 expenses saving</t>
  </si>
  <si>
    <t>Budget Tsfr between C030 &amp; C031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</si>
</sst>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£&quot;#,##0;[Red]\-&quot;£&quot;#,##0"/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6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66CC"/>
      <name val="Calibri"/>
      <family val="2"/>
      <scheme val="minor"/>
    </font>
    <font>
      <sz val="11"/>
      <color rgb="FFFF66CC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rgb="FF9900CC"/>
      <name val="Calibri"/>
      <family val="2"/>
      <scheme val="minor"/>
    </font>
    <font>
      <sz val="11"/>
      <color rgb="FF9900CC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9900CC"/>
      <name val="Calibri"/>
      <family val="2"/>
      <scheme val="minor"/>
    </font>
    <font>
      <i/>
      <sz val="11"/>
      <color rgb="FFFF66CC"/>
      <name val="Calibri"/>
      <family val="2"/>
      <scheme val="minor"/>
    </font>
    <font>
      <i/>
      <sz val="11"/>
      <color theme="7" tint="-0.249977111117893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sz val="9"/>
      <color rgb="FFFF66CC"/>
      <name val="Calibri"/>
      <family val="2"/>
      <scheme val="minor"/>
    </font>
    <font>
      <sz val="9"/>
      <color theme="7" tint="-0.249977111117893"/>
      <name val="Calibri"/>
      <family val="2"/>
      <scheme val="minor"/>
    </font>
    <font>
      <sz val="9"/>
      <color rgb="FF00B0F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"/>
      <name val="Arial"/>
      <family val="2"/>
    </font>
    <font>
      <sz val="8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3" fillId="0" borderId="0" applyFont="0" applyFill="0" applyBorder="0" applyAlignment="0" applyProtection="0"/>
  </cellStyleXfs>
  <cellXfs count="277">
    <xf numFmtId="0" fontId="0" fillId="0" borderId="0" xfId="0"/>
    <xf numFmtId="0" fontId="2" fillId="0" borderId="0" xfId="0" applyFont="1"/>
    <xf numFmtId="3" fontId="2" fillId="0" borderId="0" xfId="0" applyNumberFormat="1" applyFont="1" applyAlignment="1"/>
    <xf numFmtId="0" fontId="0" fillId="0" borderId="0" xfId="0" applyFont="1"/>
    <xf numFmtId="3" fontId="3" fillId="0" borderId="0" xfId="0" applyNumberFormat="1" applyFont="1" applyAlignment="1"/>
    <xf numFmtId="0" fontId="3" fillId="0" borderId="0" xfId="0" applyFont="1"/>
    <xf numFmtId="0" fontId="1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Font="1"/>
    <xf numFmtId="3" fontId="4" fillId="0" borderId="0" xfId="0" applyNumberFormat="1" applyFont="1"/>
    <xf numFmtId="0" fontId="5" fillId="0" borderId="0" xfId="0" applyFont="1"/>
    <xf numFmtId="3" fontId="1" fillId="0" borderId="0" xfId="0" applyNumberFormat="1" applyFont="1" applyAlignment="1"/>
    <xf numFmtId="3" fontId="5" fillId="0" borderId="0" xfId="0" applyNumberFormat="1" applyFont="1" applyAlignment="1"/>
    <xf numFmtId="0" fontId="6" fillId="0" borderId="0" xfId="0" applyFont="1"/>
    <xf numFmtId="0" fontId="7" fillId="0" borderId="0" xfId="0" applyFont="1"/>
    <xf numFmtId="3" fontId="7" fillId="0" borderId="0" xfId="0" applyNumberFormat="1" applyFont="1" applyAlignment="1"/>
    <xf numFmtId="3" fontId="6" fillId="0" borderId="0" xfId="0" applyNumberFormat="1" applyFont="1" applyAlignment="1"/>
    <xf numFmtId="0" fontId="8" fillId="0" borderId="0" xfId="0" applyFont="1"/>
    <xf numFmtId="0" fontId="9" fillId="0" borderId="0" xfId="0" applyFont="1"/>
    <xf numFmtId="3" fontId="9" fillId="0" borderId="0" xfId="0" applyNumberFormat="1" applyFont="1" applyAlignment="1"/>
    <xf numFmtId="3" fontId="8" fillId="0" borderId="0" xfId="0" applyNumberFormat="1" applyFont="1" applyAlignment="1"/>
    <xf numFmtId="0" fontId="11" fillId="0" borderId="0" xfId="0" applyFont="1"/>
    <xf numFmtId="0" fontId="12" fillId="0" borderId="0" xfId="0" applyFont="1"/>
    <xf numFmtId="3" fontId="12" fillId="0" borderId="0" xfId="0" applyNumberFormat="1" applyFont="1" applyAlignment="1"/>
    <xf numFmtId="3" fontId="11" fillId="0" borderId="0" xfId="0" applyNumberFormat="1" applyFont="1" applyAlignment="1"/>
    <xf numFmtId="0" fontId="13" fillId="0" borderId="0" xfId="0" applyFont="1"/>
    <xf numFmtId="0" fontId="14" fillId="0" borderId="0" xfId="0" applyFont="1"/>
    <xf numFmtId="3" fontId="14" fillId="0" borderId="0" xfId="0" applyNumberFormat="1" applyFont="1" applyAlignment="1"/>
    <xf numFmtId="3" fontId="13" fillId="0" borderId="0" xfId="0" applyNumberFormat="1" applyFont="1" applyAlignment="1"/>
    <xf numFmtId="0" fontId="15" fillId="0" borderId="0" xfId="0" applyFont="1"/>
    <xf numFmtId="0" fontId="16" fillId="0" borderId="0" xfId="0" applyFont="1"/>
    <xf numFmtId="3" fontId="16" fillId="0" borderId="0" xfId="0" applyNumberFormat="1" applyFont="1" applyAlignment="1"/>
    <xf numFmtId="3" fontId="15" fillId="0" borderId="0" xfId="0" applyNumberFormat="1" applyFont="1" applyAlignment="1"/>
    <xf numFmtId="0" fontId="17" fillId="0" borderId="0" xfId="0" applyFont="1"/>
    <xf numFmtId="0" fontId="18" fillId="0" borderId="0" xfId="0" applyFont="1"/>
    <xf numFmtId="3" fontId="18" fillId="0" borderId="0" xfId="0" applyNumberFormat="1" applyFont="1" applyAlignment="1"/>
    <xf numFmtId="3" fontId="17" fillId="0" borderId="0" xfId="0" applyNumberFormat="1" applyFont="1" applyAlignment="1"/>
    <xf numFmtId="3" fontId="0" fillId="0" borderId="0" xfId="0" applyNumberFormat="1" applyFont="1" applyAlignment="1"/>
    <xf numFmtId="0" fontId="19" fillId="0" borderId="0" xfId="0" applyFont="1"/>
    <xf numFmtId="0" fontId="20" fillId="0" borderId="0" xfId="0" applyFont="1"/>
    <xf numFmtId="3" fontId="20" fillId="0" borderId="0" xfId="0" applyNumberFormat="1" applyFont="1" applyAlignment="1"/>
    <xf numFmtId="3" fontId="19" fillId="0" borderId="0" xfId="0" applyNumberFormat="1" applyFont="1" applyAlignme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2" borderId="0" xfId="0" applyFont="1" applyFill="1"/>
    <xf numFmtId="3" fontId="4" fillId="2" borderId="0" xfId="0" applyNumberFormat="1" applyFont="1" applyFill="1"/>
    <xf numFmtId="0" fontId="12" fillId="2" borderId="0" xfId="0" applyFont="1" applyFill="1"/>
    <xf numFmtId="0" fontId="1" fillId="2" borderId="0" xfId="0" applyFont="1" applyFill="1"/>
    <xf numFmtId="0" fontId="14" fillId="2" borderId="0" xfId="0" applyFont="1" applyFill="1"/>
    <xf numFmtId="0" fontId="7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20" fillId="2" borderId="0" xfId="0" applyFont="1" applyFill="1"/>
    <xf numFmtId="0" fontId="4" fillId="2" borderId="0" xfId="0" applyFont="1" applyFill="1"/>
    <xf numFmtId="3" fontId="22" fillId="0" borderId="0" xfId="0" applyNumberFormat="1" applyFont="1" applyAlignment="1"/>
    <xf numFmtId="3" fontId="21" fillId="0" borderId="0" xfId="0" applyNumberFormat="1" applyFont="1" applyAlignment="1"/>
    <xf numFmtId="0" fontId="22" fillId="0" borderId="0" xfId="0" applyFont="1"/>
    <xf numFmtId="0" fontId="22" fillId="2" borderId="0" xfId="0" applyFont="1" applyFill="1"/>
    <xf numFmtId="3" fontId="2" fillId="2" borderId="0" xfId="0" applyNumberFormat="1" applyFont="1" applyFill="1" applyAlignment="1"/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3" fontId="11" fillId="2" borderId="0" xfId="0" applyNumberFormat="1" applyFont="1" applyFill="1" applyAlignment="1"/>
    <xf numFmtId="3" fontId="5" fillId="2" borderId="0" xfId="0" applyNumberFormat="1" applyFont="1" applyFill="1" applyAlignment="1"/>
    <xf numFmtId="3" fontId="8" fillId="2" borderId="0" xfId="0" applyNumberFormat="1" applyFont="1" applyFill="1" applyAlignment="1"/>
    <xf numFmtId="3" fontId="13" fillId="2" borderId="0" xfId="0" applyNumberFormat="1" applyFont="1" applyFill="1" applyAlignment="1"/>
    <xf numFmtId="3" fontId="6" fillId="2" borderId="0" xfId="0" applyNumberFormat="1" applyFont="1" applyFill="1" applyAlignment="1"/>
    <xf numFmtId="3" fontId="15" fillId="2" borderId="0" xfId="0" applyNumberFormat="1" applyFont="1" applyFill="1" applyAlignment="1"/>
    <xf numFmtId="3" fontId="17" fillId="2" borderId="0" xfId="0" applyNumberFormat="1" applyFont="1" applyFill="1" applyAlignment="1"/>
    <xf numFmtId="3" fontId="19" fillId="2" borderId="0" xfId="0" applyNumberFormat="1" applyFont="1" applyFill="1" applyAlignment="1"/>
    <xf numFmtId="3" fontId="21" fillId="2" borderId="0" xfId="0" applyNumberFormat="1" applyFont="1" applyFill="1" applyAlignment="1"/>
    <xf numFmtId="3" fontId="0" fillId="2" borderId="0" xfId="0" applyNumberFormat="1" applyFont="1" applyFill="1" applyAlignment="1"/>
    <xf numFmtId="3" fontId="23" fillId="0" borderId="0" xfId="0" applyNumberFormat="1" applyFont="1" applyAlignment="1"/>
    <xf numFmtId="3" fontId="24" fillId="0" borderId="0" xfId="0" applyNumberFormat="1" applyFont="1" applyAlignment="1"/>
    <xf numFmtId="3" fontId="25" fillId="0" borderId="0" xfId="0" applyNumberFormat="1" applyFont="1" applyAlignment="1"/>
    <xf numFmtId="3" fontId="26" fillId="0" borderId="0" xfId="0" applyNumberFormat="1" applyFont="1" applyAlignment="1"/>
    <xf numFmtId="3" fontId="27" fillId="0" borderId="0" xfId="0" applyNumberFormat="1" applyFont="1" applyAlignment="1"/>
    <xf numFmtId="3" fontId="28" fillId="0" borderId="0" xfId="0" applyNumberFormat="1" applyFont="1" applyAlignment="1"/>
    <xf numFmtId="3" fontId="29" fillId="0" borderId="0" xfId="0" applyNumberFormat="1" applyFont="1" applyAlignment="1"/>
    <xf numFmtId="3" fontId="30" fillId="0" borderId="0" xfId="0" applyNumberFormat="1" applyFont="1" applyAlignment="1"/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13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15" fillId="0" borderId="0" xfId="0" applyNumberFormat="1" applyFont="1" applyFill="1" applyAlignment="1">
      <alignment horizontal="right"/>
    </xf>
    <xf numFmtId="3" fontId="17" fillId="0" borderId="0" xfId="0" applyNumberFormat="1" applyFont="1" applyFill="1" applyAlignment="1">
      <alignment horizontal="right"/>
    </xf>
    <xf numFmtId="3" fontId="19" fillId="0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3" fontId="2" fillId="0" borderId="0" xfId="0" applyNumberFormat="1" applyFont="1" applyFill="1" applyAlignment="1">
      <alignment horizontal="left"/>
    </xf>
    <xf numFmtId="0" fontId="0" fillId="0" borderId="0" xfId="0" applyFill="1" applyBorder="1"/>
    <xf numFmtId="0" fontId="2" fillId="0" borderId="0" xfId="0" applyFont="1" applyBorder="1"/>
    <xf numFmtId="0" fontId="0" fillId="0" borderId="0" xfId="0" applyBorder="1"/>
    <xf numFmtId="3" fontId="2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left"/>
    </xf>
    <xf numFmtId="3" fontId="3" fillId="2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11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13" fillId="2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3" fontId="15" fillId="2" borderId="0" xfId="0" applyNumberFormat="1" applyFont="1" applyFill="1" applyAlignment="1">
      <alignment horizontal="right"/>
    </xf>
    <xf numFmtId="3" fontId="17" fillId="2" borderId="0" xfId="0" applyNumberFormat="1" applyFont="1" applyFill="1" applyAlignment="1">
      <alignment horizontal="right"/>
    </xf>
    <xf numFmtId="3" fontId="19" fillId="2" borderId="0" xfId="0" applyNumberFormat="1" applyFont="1" applyFill="1" applyAlignment="1">
      <alignment horizontal="right"/>
    </xf>
    <xf numFmtId="3" fontId="21" fillId="2" borderId="0" xfId="0" applyNumberFormat="1" applyFont="1" applyFill="1" applyAlignment="1">
      <alignment horizontal="right"/>
    </xf>
    <xf numFmtId="3" fontId="0" fillId="2" borderId="0" xfId="0" applyNumberFormat="1" applyFont="1" applyFill="1" applyAlignment="1">
      <alignment horizontal="right"/>
    </xf>
    <xf numFmtId="3" fontId="2" fillId="0" borderId="1" xfId="0" applyNumberFormat="1" applyFont="1" applyBorder="1"/>
    <xf numFmtId="3" fontId="1" fillId="0" borderId="0" xfId="0" applyNumberFormat="1" applyFont="1" applyFill="1" applyAlignment="1">
      <alignment horizontal="right"/>
    </xf>
    <xf numFmtId="3" fontId="0" fillId="0" borderId="0" xfId="0" applyNumberFormat="1" applyFill="1" applyAlignment="1">
      <alignment horizontal="right"/>
    </xf>
    <xf numFmtId="3" fontId="0" fillId="2" borderId="0" xfId="0" applyNumberFormat="1" applyFill="1"/>
    <xf numFmtId="3" fontId="1" fillId="0" borderId="0" xfId="0" applyNumberFormat="1" applyFont="1"/>
    <xf numFmtId="3" fontId="9" fillId="0" borderId="0" xfId="0" applyNumberFormat="1" applyFont="1"/>
    <xf numFmtId="3" fontId="31" fillId="0" borderId="0" xfId="0" applyNumberFormat="1" applyFont="1"/>
    <xf numFmtId="3" fontId="7" fillId="0" borderId="0" xfId="0" applyNumberFormat="1" applyFont="1"/>
    <xf numFmtId="3" fontId="14" fillId="0" borderId="0" xfId="0" applyNumberFormat="1" applyFont="1"/>
    <xf numFmtId="3" fontId="20" fillId="0" borderId="0" xfId="0" applyNumberFormat="1" applyFont="1"/>
    <xf numFmtId="0" fontId="32" fillId="0" borderId="0" xfId="0" applyFont="1"/>
    <xf numFmtId="3" fontId="7" fillId="0" borderId="0" xfId="0" applyNumberFormat="1" applyFont="1" applyAlignment="1">
      <alignment horizontal="right"/>
    </xf>
    <xf numFmtId="3" fontId="7" fillId="0" borderId="0" xfId="0" applyNumberFormat="1" applyFont="1" applyFill="1"/>
    <xf numFmtId="3" fontId="0" fillId="0" borderId="0" xfId="0" applyNumberFormat="1" applyFill="1"/>
    <xf numFmtId="0" fontId="0" fillId="0" borderId="0" xfId="0" applyFont="1" applyFill="1"/>
    <xf numFmtId="4" fontId="0" fillId="0" borderId="0" xfId="0" applyNumberFormat="1"/>
    <xf numFmtId="3" fontId="16" fillId="0" borderId="0" xfId="0" applyNumberFormat="1" applyFont="1"/>
    <xf numFmtId="0" fontId="35" fillId="0" borderId="0" xfId="0" applyFont="1" applyFill="1"/>
    <xf numFmtId="0" fontId="35" fillId="0" borderId="0" xfId="0" applyFont="1" applyFill="1" applyBorder="1"/>
    <xf numFmtId="0" fontId="0" fillId="0" borderId="0" xfId="0" applyFill="1" applyBorder="1" applyAlignment="1">
      <alignment horizontal="right"/>
    </xf>
    <xf numFmtId="0" fontId="36" fillId="0" borderId="0" xfId="0" applyFont="1" applyFill="1" applyBorder="1" applyAlignment="1">
      <alignment horizontal="left" vertical="top"/>
    </xf>
    <xf numFmtId="164" fontId="35" fillId="0" borderId="0" xfId="1" applyNumberFormat="1" applyFont="1" applyFill="1" applyBorder="1"/>
    <xf numFmtId="0" fontId="0" fillId="0" borderId="0" xfId="0" applyFill="1"/>
    <xf numFmtId="0" fontId="37" fillId="0" borderId="0" xfId="0" applyFont="1"/>
    <xf numFmtId="0" fontId="35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34" fillId="0" borderId="0" xfId="0" applyFont="1" applyFill="1" applyBorder="1"/>
    <xf numFmtId="164" fontId="34" fillId="0" borderId="0" xfId="0" applyNumberFormat="1" applyFont="1" applyFill="1" applyBorder="1"/>
    <xf numFmtId="164" fontId="0" fillId="0" borderId="0" xfId="0" applyNumberFormat="1" applyBorder="1"/>
    <xf numFmtId="164" fontId="2" fillId="0" borderId="0" xfId="0" applyNumberFormat="1" applyFont="1" applyBorder="1"/>
    <xf numFmtId="1" fontId="2" fillId="0" borderId="0" xfId="0" applyNumberFormat="1" applyFont="1" applyAlignment="1">
      <alignment horizontal="center"/>
    </xf>
    <xf numFmtId="3" fontId="0" fillId="0" borderId="0" xfId="0" applyNumberFormat="1" applyFont="1" applyFill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3" fontId="46" fillId="0" borderId="0" xfId="0" applyNumberFormat="1" applyFont="1"/>
    <xf numFmtId="0" fontId="2" fillId="2" borderId="0" xfId="0" applyFont="1" applyFill="1"/>
    <xf numFmtId="0" fontId="48" fillId="0" borderId="0" xfId="0" applyFont="1"/>
    <xf numFmtId="3" fontId="12" fillId="0" borderId="0" xfId="0" applyNumberFormat="1" applyFont="1"/>
    <xf numFmtId="3" fontId="12" fillId="2" borderId="0" xfId="0" applyNumberFormat="1" applyFont="1" applyFill="1"/>
    <xf numFmtId="0" fontId="49" fillId="0" borderId="0" xfId="0" applyFont="1"/>
    <xf numFmtId="3" fontId="0" fillId="0" borderId="1" xfId="0" applyNumberFormat="1" applyBorder="1"/>
    <xf numFmtId="3" fontId="0" fillId="2" borderId="1" xfId="0" applyNumberFormat="1" applyFill="1" applyBorder="1"/>
    <xf numFmtId="3" fontId="2" fillId="0" borderId="0" xfId="0" applyNumberFormat="1" applyFont="1" applyFill="1"/>
    <xf numFmtId="3" fontId="2" fillId="2" borderId="1" xfId="0" applyNumberFormat="1" applyFont="1" applyFill="1" applyBorder="1"/>
    <xf numFmtId="0" fontId="2" fillId="0" borderId="1" xfId="0" applyFont="1" applyBorder="1"/>
    <xf numFmtId="0" fontId="2" fillId="2" borderId="1" xfId="0" applyFont="1" applyFill="1" applyBorder="1"/>
    <xf numFmtId="3" fontId="2" fillId="0" borderId="1" xfId="0" applyNumberFormat="1" applyFont="1" applyBorder="1" applyAlignment="1"/>
    <xf numFmtId="3" fontId="2" fillId="2" borderId="1" xfId="0" applyNumberFormat="1" applyFont="1" applyFill="1" applyBorder="1" applyAlignment="1"/>
    <xf numFmtId="3" fontId="2" fillId="0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0" fillId="2" borderId="1" xfId="0" applyFont="1" applyFill="1" applyBorder="1"/>
    <xf numFmtId="3" fontId="47" fillId="0" borderId="1" xfId="0" applyNumberFormat="1" applyFont="1" applyBorder="1"/>
    <xf numFmtId="3" fontId="2" fillId="0" borderId="0" xfId="0" applyNumberFormat="1" applyFont="1" applyAlignment="1">
      <alignment horizontal="center"/>
    </xf>
    <xf numFmtId="0" fontId="10" fillId="0" borderId="0" xfId="0" applyFont="1" applyFill="1"/>
    <xf numFmtId="0" fontId="19" fillId="0" borderId="0" xfId="0" applyFont="1" applyFill="1"/>
    <xf numFmtId="3" fontId="4" fillId="0" borderId="0" xfId="0" applyNumberFormat="1" applyFont="1" applyFill="1" applyAlignment="1"/>
    <xf numFmtId="0" fontId="13" fillId="0" borderId="0" xfId="0" applyFont="1" applyFill="1"/>
    <xf numFmtId="3" fontId="14" fillId="0" borderId="0" xfId="0" applyNumberFormat="1" applyFont="1" applyFill="1" applyAlignment="1"/>
    <xf numFmtId="0" fontId="21" fillId="0" borderId="0" xfId="0" applyFont="1" applyFill="1"/>
    <xf numFmtId="3" fontId="22" fillId="0" borderId="0" xfId="0" applyNumberFormat="1" applyFont="1" applyFill="1" applyAlignment="1"/>
    <xf numFmtId="0" fontId="2" fillId="0" borderId="2" xfId="0" applyFont="1" applyBorder="1"/>
    <xf numFmtId="0" fontId="52" fillId="0" borderId="0" xfId="0" applyFont="1" applyFill="1" applyBorder="1" applyAlignment="1">
      <alignment horizontal="left" vertical="top"/>
    </xf>
    <xf numFmtId="0" fontId="0" fillId="0" borderId="0" xfId="0" applyFont="1" applyBorder="1"/>
    <xf numFmtId="3" fontId="22" fillId="0" borderId="0" xfId="0" applyNumberFormat="1" applyFont="1"/>
    <xf numFmtId="3" fontId="35" fillId="0" borderId="0" xfId="0" applyNumberFormat="1" applyFont="1" applyFill="1" applyBorder="1" applyAlignment="1">
      <alignment horizontal="right"/>
    </xf>
    <xf numFmtId="164" fontId="35" fillId="0" borderId="0" xfId="1" applyNumberFormat="1" applyFont="1" applyFill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4" fillId="0" borderId="0" xfId="0" applyNumberFormat="1" applyFont="1" applyAlignment="1"/>
    <xf numFmtId="3" fontId="35" fillId="0" borderId="0" xfId="1" applyNumberFormat="1" applyFont="1" applyFill="1" applyBorder="1" applyAlignment="1"/>
    <xf numFmtId="3" fontId="35" fillId="0" borderId="0" xfId="1" applyNumberFormat="1" applyFont="1" applyFill="1" applyBorder="1" applyAlignment="1">
      <alignment horizontal="right"/>
    </xf>
    <xf numFmtId="3" fontId="34" fillId="0" borderId="1" xfId="1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2" borderId="3" xfId="0" applyFont="1" applyFill="1" applyBorder="1"/>
    <xf numFmtId="3" fontId="2" fillId="2" borderId="4" xfId="0" applyNumberFormat="1" applyFont="1" applyFill="1" applyBorder="1"/>
    <xf numFmtId="0" fontId="2" fillId="2" borderId="5" xfId="0" applyFont="1" applyFill="1" applyBorder="1"/>
    <xf numFmtId="3" fontId="2" fillId="2" borderId="6" xfId="0" applyNumberFormat="1" applyFont="1" applyFill="1" applyBorder="1"/>
    <xf numFmtId="0" fontId="2" fillId="2" borderId="7" xfId="0" applyFont="1" applyFill="1" applyBorder="1"/>
    <xf numFmtId="3" fontId="2" fillId="2" borderId="8" xfId="0" applyNumberFormat="1" applyFont="1" applyFill="1" applyBorder="1"/>
    <xf numFmtId="1" fontId="2" fillId="0" borderId="0" xfId="0" applyNumberFormat="1" applyFont="1" applyAlignment="1">
      <alignment horizontal="center"/>
    </xf>
    <xf numFmtId="3" fontId="2" fillId="2" borderId="3" xfId="0" applyNumberFormat="1" applyFont="1" applyFill="1" applyBorder="1"/>
    <xf numFmtId="3" fontId="2" fillId="2" borderId="9" xfId="0" applyNumberFormat="1" applyFont="1" applyFill="1" applyBorder="1"/>
    <xf numFmtId="0" fontId="2" fillId="2" borderId="0" xfId="0" applyFont="1" applyFill="1" applyBorder="1"/>
    <xf numFmtId="0" fontId="2" fillId="2" borderId="10" xfId="0" applyFont="1" applyFill="1" applyBorder="1"/>
    <xf numFmtId="3" fontId="0" fillId="3" borderId="0" xfId="0" applyNumberFormat="1" applyFill="1"/>
    <xf numFmtId="0" fontId="0" fillId="0" borderId="11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3" fontId="1" fillId="0" borderId="0" xfId="0" applyNumberFormat="1" applyFont="1" applyFill="1"/>
    <xf numFmtId="0" fontId="53" fillId="0" borderId="0" xfId="0" applyFont="1"/>
    <xf numFmtId="3" fontId="53" fillId="0" borderId="0" xfId="0" applyNumberFormat="1" applyFont="1"/>
    <xf numFmtId="3" fontId="53" fillId="0" borderId="2" xfId="0" applyNumberFormat="1" applyFont="1" applyBorder="1"/>
    <xf numFmtId="1" fontId="2" fillId="0" borderId="0" xfId="0" applyNumberFormat="1" applyFont="1" applyAlignment="1">
      <alignment horizontal="center"/>
    </xf>
    <xf numFmtId="0" fontId="0" fillId="0" borderId="0" xfId="0"/>
    <xf numFmtId="3" fontId="2" fillId="0" borderId="1" xfId="0" applyNumberFormat="1" applyFont="1" applyBorder="1"/>
    <xf numFmtId="3" fontId="2" fillId="2" borderId="1" xfId="0" applyNumberFormat="1" applyFont="1" applyFill="1" applyBorder="1"/>
    <xf numFmtId="0" fontId="2" fillId="0" borderId="0" xfId="0" applyFont="1"/>
    <xf numFmtId="3" fontId="0" fillId="0" borderId="0" xfId="0" applyNumberFormat="1"/>
    <xf numFmtId="3" fontId="0" fillId="2" borderId="0" xfId="0" applyNumberFormat="1" applyFill="1"/>
    <xf numFmtId="3" fontId="2" fillId="0" borderId="0" xfId="0" applyNumberFormat="1" applyFont="1"/>
    <xf numFmtId="3" fontId="0" fillId="0" borderId="0" xfId="0" applyNumberFormat="1" applyFont="1"/>
    <xf numFmtId="3" fontId="34" fillId="0" borderId="0" xfId="0" applyNumberFormat="1" applyFont="1"/>
    <xf numFmtId="3" fontId="2" fillId="2" borderId="0" xfId="0" applyNumberFormat="1" applyFont="1" applyFill="1"/>
    <xf numFmtId="3" fontId="2" fillId="0" borderId="0" xfId="0" quotePrefix="1" applyNumberFormat="1" applyFont="1"/>
    <xf numFmtId="3" fontId="0" fillId="2" borderId="0" xfId="0" applyNumberFormat="1" applyFont="1" applyFill="1"/>
    <xf numFmtId="3" fontId="2" fillId="0" borderId="12" xfId="0" applyNumberFormat="1" applyFont="1" applyBorder="1"/>
    <xf numFmtId="3" fontId="0" fillId="0" borderId="12" xfId="0" applyNumberFormat="1" applyFont="1" applyBorder="1"/>
    <xf numFmtId="3" fontId="2" fillId="0" borderId="13" xfId="0" applyNumberFormat="1" applyFont="1" applyBorder="1"/>
    <xf numFmtId="164" fontId="0" fillId="0" borderId="0" xfId="1" applyNumberFormat="1" applyFont="1"/>
    <xf numFmtId="164" fontId="0" fillId="2" borderId="0" xfId="1" applyNumberFormat="1" applyFont="1" applyFill="1"/>
    <xf numFmtId="164" fontId="0" fillId="0" borderId="12" xfId="1" applyNumberFormat="1" applyFont="1" applyBorder="1"/>
    <xf numFmtId="0" fontId="54" fillId="0" borderId="0" xfId="0" applyFont="1" applyAlignment="1">
      <alignment vertical="center"/>
    </xf>
    <xf numFmtId="3" fontId="55" fillId="0" borderId="0" xfId="0" applyNumberFormat="1" applyFont="1"/>
    <xf numFmtId="6" fontId="0" fillId="0" borderId="0" xfId="0" applyNumberFormat="1"/>
    <xf numFmtId="0" fontId="56" fillId="0" borderId="0" xfId="0" applyFont="1"/>
    <xf numFmtId="0" fontId="46" fillId="0" borderId="0" xfId="0" applyFont="1"/>
    <xf numFmtId="6" fontId="56" fillId="0" borderId="0" xfId="0" applyNumberFormat="1" applyFont="1"/>
    <xf numFmtId="6" fontId="56" fillId="0" borderId="2" xfId="0" applyNumberFormat="1" applyFont="1" applyBorder="1"/>
    <xf numFmtId="0" fontId="57" fillId="0" borderId="0" xfId="0" applyFont="1"/>
    <xf numFmtId="165" fontId="0" fillId="0" borderId="0" xfId="0" applyNumberFormat="1"/>
    <xf numFmtId="165" fontId="0" fillId="0" borderId="2" xfId="0" applyNumberFormat="1" applyBorder="1"/>
    <xf numFmtId="164" fontId="0" fillId="0" borderId="2" xfId="1" applyNumberFormat="1" applyFont="1" applyBorder="1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" fontId="2" fillId="0" borderId="0" xfId="0" applyNumberFormat="1" applyFont="1" applyAlignment="1">
      <alignment horizontal="center"/>
    </xf>
    <xf numFmtId="164" fontId="2" fillId="0" borderId="0" xfId="1" applyNumberFormat="1" applyFont="1"/>
    <xf numFmtId="17" fontId="2" fillId="0" borderId="0" xfId="0" applyNumberFormat="1" applyFont="1"/>
    <xf numFmtId="164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58" fillId="0" borderId="0" xfId="0" applyFont="1"/>
    <xf numFmtId="164" fontId="0" fillId="0" borderId="0" xfId="1" applyNumberFormat="1" applyFont="1" applyFill="1"/>
    <xf numFmtId="165" fontId="0" fillId="0" borderId="0" xfId="0" applyNumberFormat="1" applyBorder="1"/>
    <xf numFmtId="164" fontId="2" fillId="0" borderId="1" xfId="1" applyNumberFormat="1" applyFont="1" applyBorder="1"/>
    <xf numFmtId="0" fontId="59" fillId="0" borderId="0" xfId="0" applyFont="1"/>
    <xf numFmtId="43" fontId="2" fillId="0" borderId="0" xfId="1" applyFont="1"/>
    <xf numFmtId="165" fontId="2" fillId="0" borderId="0" xfId="0" applyNumberFormat="1" applyFont="1"/>
    <xf numFmtId="0" fontId="55" fillId="0" borderId="0" xfId="0" applyFont="1"/>
    <xf numFmtId="165" fontId="0" fillId="0" borderId="0" xfId="0" applyNumberFormat="1" applyFill="1"/>
    <xf numFmtId="165" fontId="0" fillId="0" borderId="2" xfId="0" applyNumberFormat="1" applyFill="1" applyBorder="1"/>
    <xf numFmtId="3" fontId="4" fillId="0" borderId="0" xfId="0" applyNumberFormat="1" applyFont="1" applyFill="1"/>
    <xf numFmtId="165" fontId="2" fillId="0" borderId="0" xfId="0" applyNumberFormat="1" applyFont="1" applyFill="1"/>
    <xf numFmtId="0" fontId="0" fillId="4" borderId="0" xfId="0" applyFill="1"/>
    <xf numFmtId="0" fontId="0" fillId="0" borderId="2" xfId="0" applyBorder="1"/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wrapText="1"/>
    </xf>
    <xf numFmtId="3" fontId="60" fillId="0" borderId="0" xfId="0" applyNumberFormat="1" applyFont="1"/>
    <xf numFmtId="3" fontId="0" fillId="5" borderId="0" xfId="0" applyNumberFormat="1" applyFill="1"/>
    <xf numFmtId="3" fontId="0" fillId="0" borderId="0" xfId="0" applyNumberFormat="1" applyFont="1" applyFill="1" applyAlignment="1"/>
    <xf numFmtId="43" fontId="0" fillId="0" borderId="0" xfId="0" applyNumberFormat="1"/>
    <xf numFmtId="43" fontId="2" fillId="0" borderId="2" xfId="1" applyFont="1" applyBorder="1"/>
    <xf numFmtId="43" fontId="0" fillId="5" borderId="2" xfId="1" applyFont="1" applyFill="1" applyBorder="1"/>
    <xf numFmtId="1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2" xfId="1" applyFont="1" applyBorder="1"/>
    <xf numFmtId="14" fontId="0" fillId="0" borderId="0" xfId="0" applyNumberFormat="1"/>
    <xf numFmtId="0" fontId="61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00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74"/>
  <sheetViews>
    <sheetView topLeftCell="E4" zoomScale="85" zoomScaleNormal="85" workbookViewId="0">
      <selection activeCell="W25" sqref="W25"/>
    </sheetView>
  </sheetViews>
  <sheetFormatPr defaultRowHeight="14.4" x14ac:dyDescent="0.55000000000000004"/>
  <cols>
    <col min="1" max="1" width="9.15625" style="211"/>
    <col min="2" max="2" width="7.578125" customWidth="1"/>
    <col min="3" max="3" width="8.26171875" customWidth="1"/>
    <col min="4" max="4" width="30.15625" style="1" customWidth="1"/>
    <col min="5" max="5" width="2.26171875" style="1" customWidth="1"/>
    <col min="6" max="6" width="11.83984375" customWidth="1"/>
    <col min="7" max="7" width="8.578125" customWidth="1"/>
    <col min="8" max="8" width="7.578125" customWidth="1"/>
    <col min="9" max="9" width="9" customWidth="1"/>
    <col min="10" max="10" width="1.26171875" style="135" customWidth="1"/>
    <col min="11" max="11" width="8.83984375" style="94" customWidth="1"/>
    <col min="12" max="12" width="9.68359375" style="94" customWidth="1"/>
    <col min="13" max="13" width="1.26171875" style="94" customWidth="1"/>
    <col min="14" max="14" width="9" hidden="1" customWidth="1"/>
    <col min="15" max="15" width="1.26171875" style="135" hidden="1" customWidth="1"/>
    <col min="16" max="16" width="7.68359375" hidden="1" customWidth="1"/>
    <col min="17" max="17" width="8" hidden="1" customWidth="1"/>
    <col min="18" max="18" width="7.578125" hidden="1" customWidth="1"/>
    <col min="19" max="19" width="8.578125" hidden="1" customWidth="1"/>
    <col min="20" max="20" width="10.15625" hidden="1" customWidth="1"/>
    <col min="21" max="21" width="7.68359375" bestFit="1" customWidth="1"/>
    <col min="22" max="22" width="7.26171875" customWidth="1"/>
    <col min="23" max="23" width="9.26171875" bestFit="1" customWidth="1"/>
    <col min="24" max="24" width="7.68359375" bestFit="1" customWidth="1"/>
    <col min="25" max="25" width="8.41796875" bestFit="1" customWidth="1"/>
    <col min="26" max="26" width="7" customWidth="1"/>
    <col min="27" max="27" width="7.68359375" bestFit="1" customWidth="1"/>
    <col min="28" max="28" width="1" style="135" customWidth="1"/>
    <col min="29" max="29" width="6.68359375" bestFit="1" customWidth="1"/>
    <col min="30" max="30" width="6" style="211" customWidth="1"/>
    <col min="31" max="31" width="10" customWidth="1"/>
    <col min="32" max="32" width="10.15625" customWidth="1"/>
    <col min="37" max="37" width="10.15625" bestFit="1" customWidth="1"/>
  </cols>
  <sheetData>
    <row r="1" spans="1:38" s="211" customFormat="1" x14ac:dyDescent="0.55000000000000004">
      <c r="A1" s="214" t="s">
        <v>0</v>
      </c>
      <c r="B1" s="214"/>
      <c r="D1" s="214"/>
      <c r="E1" s="214"/>
      <c r="J1" s="135"/>
      <c r="K1" s="94"/>
      <c r="L1" s="94"/>
      <c r="M1" s="94"/>
      <c r="O1" s="135"/>
      <c r="AB1" s="135"/>
    </row>
    <row r="2" spans="1:38" x14ac:dyDescent="0.55000000000000004">
      <c r="A2" s="214" t="s">
        <v>1</v>
      </c>
      <c r="B2" s="214"/>
      <c r="C2" s="1"/>
      <c r="F2" s="2"/>
      <c r="G2" s="2"/>
      <c r="H2" s="2"/>
      <c r="I2" s="2"/>
      <c r="J2" s="61"/>
      <c r="K2" s="82"/>
      <c r="L2" s="82"/>
      <c r="M2" s="99"/>
      <c r="N2" s="152"/>
      <c r="O2" s="46"/>
      <c r="P2" s="275">
        <v>2017</v>
      </c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46"/>
      <c r="AC2" s="1">
        <v>2018</v>
      </c>
      <c r="AD2" s="214"/>
      <c r="AE2" s="1"/>
      <c r="AF2" s="152" t="s">
        <v>151</v>
      </c>
    </row>
    <row r="3" spans="1:38" x14ac:dyDescent="0.55000000000000004">
      <c r="A3" s="214"/>
      <c r="B3" s="1"/>
      <c r="C3" s="3"/>
      <c r="E3" s="41"/>
      <c r="F3" s="4" t="s">
        <v>2</v>
      </c>
      <c r="G3" s="4" t="s">
        <v>3</v>
      </c>
      <c r="H3" s="4" t="s">
        <v>59</v>
      </c>
      <c r="I3" s="4" t="s">
        <v>19</v>
      </c>
      <c r="J3" s="61"/>
      <c r="K3" s="95" t="s">
        <v>70</v>
      </c>
      <c r="L3" s="95" t="s">
        <v>120</v>
      </c>
      <c r="M3" s="100"/>
      <c r="N3" s="1" t="s">
        <v>11</v>
      </c>
      <c r="O3" s="155"/>
      <c r="P3" s="1" t="s">
        <v>12</v>
      </c>
      <c r="Q3" s="1" t="s">
        <v>13</v>
      </c>
      <c r="R3" s="1" t="s">
        <v>14</v>
      </c>
      <c r="S3" s="1" t="s">
        <v>81</v>
      </c>
      <c r="T3" s="1" t="s">
        <v>4</v>
      </c>
      <c r="U3" s="1" t="s">
        <v>82</v>
      </c>
      <c r="V3" s="1" t="s">
        <v>83</v>
      </c>
      <c r="W3" s="1" t="s">
        <v>84</v>
      </c>
      <c r="X3" s="1" t="s">
        <v>217</v>
      </c>
      <c r="Y3" s="1" t="s">
        <v>218</v>
      </c>
      <c r="Z3" s="1" t="s">
        <v>87</v>
      </c>
      <c r="AA3" s="1" t="s">
        <v>219</v>
      </c>
      <c r="AB3" s="155"/>
      <c r="AC3" s="1" t="s">
        <v>78</v>
      </c>
      <c r="AD3" s="214" t="s">
        <v>79</v>
      </c>
      <c r="AE3" s="152" t="s">
        <v>19</v>
      </c>
      <c r="AF3" s="152" t="s">
        <v>150</v>
      </c>
      <c r="AK3" s="273">
        <v>43112</v>
      </c>
    </row>
    <row r="4" spans="1:38" x14ac:dyDescent="0.55000000000000004">
      <c r="A4" s="5" t="s">
        <v>246</v>
      </c>
      <c r="B4" s="5" t="s">
        <v>16</v>
      </c>
      <c r="C4" s="5" t="s">
        <v>77</v>
      </c>
      <c r="D4" s="5" t="s">
        <v>17</v>
      </c>
      <c r="E4" s="156"/>
      <c r="F4" s="4" t="s">
        <v>18</v>
      </c>
      <c r="G4" s="4" t="s">
        <v>18</v>
      </c>
      <c r="H4" s="4"/>
      <c r="J4" s="62"/>
      <c r="K4" s="83"/>
      <c r="L4" s="83"/>
      <c r="M4" s="101"/>
      <c r="O4" s="45"/>
      <c r="AB4" s="45"/>
      <c r="AH4" s="135"/>
    </row>
    <row r="5" spans="1:38" s="7" customFormat="1" x14ac:dyDescent="0.55000000000000004">
      <c r="A5" s="7" t="s">
        <v>165</v>
      </c>
      <c r="B5" s="138" t="s">
        <v>20</v>
      </c>
      <c r="C5" s="139" t="s">
        <v>78</v>
      </c>
      <c r="D5" s="173" t="s">
        <v>58</v>
      </c>
      <c r="E5" s="174"/>
      <c r="F5" s="175">
        <f>205000+20000</f>
        <v>225000</v>
      </c>
      <c r="G5" s="187">
        <v>180000</v>
      </c>
      <c r="H5" s="8">
        <v>565000</v>
      </c>
      <c r="I5" s="15">
        <f>F5+G5</f>
        <v>405000</v>
      </c>
      <c r="J5" s="63"/>
      <c r="K5" s="84">
        <f>+'Blade C031 (closed)'!G22</f>
        <v>415257</v>
      </c>
      <c r="L5" s="84">
        <f>+'Blade C031 (closed)'!H22</f>
        <v>0</v>
      </c>
      <c r="M5" s="102"/>
      <c r="N5" s="12">
        <f>'Blade C031 (closed)'!J22</f>
        <v>0</v>
      </c>
      <c r="O5" s="48"/>
      <c r="P5" s="12">
        <f>'Blade C031 (closed)'!K22</f>
        <v>0</v>
      </c>
      <c r="Q5" s="12">
        <f>'Blade C031 (closed)'!L22</f>
        <v>0</v>
      </c>
      <c r="R5" s="12">
        <f>'Blade C031 (closed)'!M22</f>
        <v>0</v>
      </c>
      <c r="S5" s="12">
        <f>'Blade C031 (closed)'!N22</f>
        <v>0</v>
      </c>
      <c r="T5" s="12">
        <f>'Blade C031 (closed)'!O22</f>
        <v>0</v>
      </c>
      <c r="U5" s="12">
        <f>'Blade C031 (closed)'!P22</f>
        <v>0</v>
      </c>
      <c r="V5" s="12">
        <f>'Blade C031 (closed)'!Q22</f>
        <v>0</v>
      </c>
      <c r="W5" s="12">
        <f>'Blade C031 (closed)'!R22</f>
        <v>0</v>
      </c>
      <c r="X5" s="12">
        <f>'Blade C031 (closed)'!S22</f>
        <v>0</v>
      </c>
      <c r="Y5" s="12">
        <f>'Blade C031 (closed)'!T22</f>
        <v>0</v>
      </c>
      <c r="Z5" s="12">
        <f>'Blade C031 (closed)'!U22</f>
        <v>0</v>
      </c>
      <c r="AA5" s="12">
        <f>'Blade C031 (closed)'!V22</f>
        <v>0</v>
      </c>
      <c r="AB5" s="56"/>
      <c r="AE5" s="119">
        <f>N5+P5+Q5+R5+S5+T5+U5+V5+W5+X5+Y5+Z5+AA5+AC5</f>
        <v>0</v>
      </c>
      <c r="AF5" s="119">
        <f>I5-K5</f>
        <v>-10257</v>
      </c>
      <c r="AH5" s="258">
        <f>I5-K5-AE5</f>
        <v>-10257</v>
      </c>
      <c r="AI5" s="7" t="s">
        <v>229</v>
      </c>
      <c r="AJ5" s="211"/>
      <c r="AK5" s="7" t="s">
        <v>342</v>
      </c>
    </row>
    <row r="6" spans="1:38" s="21" customFormat="1" x14ac:dyDescent="0.55000000000000004">
      <c r="A6" s="21" t="s">
        <v>241</v>
      </c>
      <c r="B6" s="138" t="s">
        <v>76</v>
      </c>
      <c r="C6" s="140" t="s">
        <v>79</v>
      </c>
      <c r="D6" s="20" t="s">
        <v>71</v>
      </c>
      <c r="E6" s="41"/>
      <c r="F6" s="22">
        <v>78000</v>
      </c>
      <c r="G6" s="22"/>
      <c r="H6" s="22"/>
      <c r="I6" s="23">
        <f t="shared" ref="I6:I21" si="0">F6+G6</f>
        <v>78000</v>
      </c>
      <c r="J6" s="66"/>
      <c r="K6" s="86">
        <f>+'Pinsky C034'!G10</f>
        <v>78000</v>
      </c>
      <c r="L6" s="86">
        <f>+'Pinsky C034'!H10</f>
        <v>0</v>
      </c>
      <c r="M6" s="105"/>
      <c r="N6" s="118">
        <f>'Pinsky C034'!J10</f>
        <v>0</v>
      </c>
      <c r="O6" s="48"/>
      <c r="P6" s="118">
        <f>'Pinsky C034'!K10</f>
        <v>0</v>
      </c>
      <c r="Q6" s="118">
        <f>'Pinsky C034'!L10</f>
        <v>0</v>
      </c>
      <c r="R6" s="118">
        <f>'Pinsky C034'!M10</f>
        <v>0</v>
      </c>
      <c r="S6" s="118">
        <f>'Pinsky C034'!N10</f>
        <v>0</v>
      </c>
      <c r="T6" s="118">
        <f>'Pinsky C034'!O10</f>
        <v>0</v>
      </c>
      <c r="U6" s="118">
        <f>'Pinsky C034'!P10</f>
        <v>0</v>
      </c>
      <c r="V6" s="118">
        <f>'Pinsky C034'!Q10</f>
        <v>0</v>
      </c>
      <c r="W6" s="118">
        <f>'Pinsky C034'!R10</f>
        <v>0</v>
      </c>
      <c r="X6" s="118">
        <f>'Pinsky C034'!S10</f>
        <v>0</v>
      </c>
      <c r="Y6" s="118">
        <f>'Pinsky C034'!T10</f>
        <v>0</v>
      </c>
      <c r="Z6" s="118">
        <f>'Pinsky C034'!U10</f>
        <v>0</v>
      </c>
      <c r="AA6" s="118">
        <f>'Pinsky C034'!V10</f>
        <v>0</v>
      </c>
      <c r="AB6" s="56"/>
      <c r="AC6" s="118">
        <f>'Pinsky C034'!X10</f>
        <v>0</v>
      </c>
      <c r="AD6" s="118"/>
      <c r="AE6" s="119">
        <f t="shared" ref="AE6:AE21" si="1">N6+P6+Q6+R6+S6+T6+U6+V6+W6+X6+Y6+Z6+AA6+AC6</f>
        <v>0</v>
      </c>
      <c r="AF6" s="119">
        <f t="shared" ref="AF6:AF21" si="2">I6-K6</f>
        <v>0</v>
      </c>
      <c r="AH6" s="258">
        <f t="shared" ref="AH6:AH21" si="3">I6-K6-AE6</f>
        <v>0</v>
      </c>
      <c r="AJ6" s="211"/>
      <c r="AK6" s="21">
        <v>78000</v>
      </c>
    </row>
    <row r="7" spans="1:38" s="6" customFormat="1" x14ac:dyDescent="0.55000000000000004">
      <c r="A7" s="6" t="s">
        <v>242</v>
      </c>
      <c r="B7" s="136"/>
      <c r="C7" s="136" t="s">
        <v>80</v>
      </c>
      <c r="D7" s="13" t="s">
        <v>21</v>
      </c>
      <c r="E7" s="41"/>
      <c r="F7" s="14">
        <f>25000-2588</f>
        <v>22412</v>
      </c>
      <c r="G7" s="14">
        <v>17500</v>
      </c>
      <c r="H7" s="14"/>
      <c r="I7" s="15">
        <f t="shared" si="0"/>
        <v>39912</v>
      </c>
      <c r="J7" s="65"/>
      <c r="K7" s="85">
        <f>'Deep Dobro C033 (closed)'!G12</f>
        <v>39912</v>
      </c>
      <c r="L7" s="85">
        <f>'Deep Dobro C033 (closed)'!H12</f>
        <v>0</v>
      </c>
      <c r="M7" s="104"/>
      <c r="N7" s="117">
        <f>'Deep Dobro C033 (closed)'!J12</f>
        <v>0</v>
      </c>
      <c r="O7" s="48"/>
      <c r="P7" s="117">
        <f>'Deep Dobro C033 (closed)'!K12</f>
        <v>0</v>
      </c>
      <c r="Q7" s="117">
        <f>'Deep Dobro C033 (closed)'!L12</f>
        <v>0</v>
      </c>
      <c r="R7" s="117">
        <f>'Deep Dobro C033 (closed)'!M12</f>
        <v>0</v>
      </c>
      <c r="S7" s="117">
        <f>'Deep Dobro C033 (closed)'!N12</f>
        <v>0</v>
      </c>
      <c r="T7" s="117">
        <f>'Deep Dobro C033 (closed)'!O12</f>
        <v>0</v>
      </c>
      <c r="U7" s="117">
        <f>'Deep Dobro C033 (closed)'!P12</f>
        <v>0</v>
      </c>
      <c r="V7" s="117">
        <f>'Deep Dobro C033 (closed)'!Q12</f>
        <v>0</v>
      </c>
      <c r="W7" s="117">
        <f>'Deep Dobro C033 (closed)'!R12</f>
        <v>0</v>
      </c>
      <c r="X7" s="117">
        <f>'Deep Dobro C033 (closed)'!S12</f>
        <v>0</v>
      </c>
      <c r="Y7" s="117">
        <f>'Deep Dobro C033 (closed)'!T12</f>
        <v>0</v>
      </c>
      <c r="Z7" s="117">
        <f>'Deep Dobro C033 (closed)'!U12</f>
        <v>0</v>
      </c>
      <c r="AA7" s="117">
        <f>'Deep Dobro C033 (closed)'!V12</f>
        <v>0</v>
      </c>
      <c r="AB7" s="50"/>
      <c r="AE7" s="119">
        <f t="shared" si="1"/>
        <v>0</v>
      </c>
      <c r="AF7" s="119">
        <f t="shared" si="2"/>
        <v>0</v>
      </c>
      <c r="AH7" s="258">
        <f t="shared" si="3"/>
        <v>0</v>
      </c>
      <c r="AJ7" s="211"/>
      <c r="AK7" s="6" t="s">
        <v>342</v>
      </c>
    </row>
    <row r="8" spans="1:38" s="29" customFormat="1" x14ac:dyDescent="0.55000000000000004">
      <c r="A8" s="29" t="s">
        <v>243</v>
      </c>
      <c r="B8" s="138" t="s">
        <v>22</v>
      </c>
      <c r="C8" s="141" t="s">
        <v>81</v>
      </c>
      <c r="D8" s="28" t="s">
        <v>72</v>
      </c>
      <c r="E8" s="41" t="s">
        <v>155</v>
      </c>
      <c r="F8" s="30">
        <f>33000-6710-3000-2595-420</f>
        <v>20275</v>
      </c>
      <c r="G8" s="30"/>
      <c r="H8" s="30"/>
      <c r="I8" s="31">
        <f t="shared" si="0"/>
        <v>20275</v>
      </c>
      <c r="J8" s="67"/>
      <c r="K8" s="87">
        <f>'Transmigration C035 (closed)'!G10</f>
        <v>20275</v>
      </c>
      <c r="L8" s="121">
        <f>'Transmigration C035 (closed)'!F10</f>
        <v>0</v>
      </c>
      <c r="M8" s="106"/>
      <c r="N8" s="121">
        <f>'Transmigration C035 (closed)'!J10</f>
        <v>0</v>
      </c>
      <c r="O8" s="48"/>
      <c r="P8" s="121">
        <f>'Transmigration C035 (closed)'!K10</f>
        <v>0</v>
      </c>
      <c r="Q8" s="121">
        <f>'Transmigration C035 (closed)'!L10</f>
        <v>0</v>
      </c>
      <c r="R8" s="121">
        <f>'Transmigration C035 (closed)'!M10</f>
        <v>0</v>
      </c>
      <c r="S8" s="121">
        <f>'Transmigration C035 (closed)'!N10</f>
        <v>0</v>
      </c>
      <c r="T8" s="121">
        <f>'Transmigration C035 (closed)'!O10</f>
        <v>0</v>
      </c>
      <c r="U8" s="121">
        <f>'Transmigration C035 (closed)'!P10</f>
        <v>0</v>
      </c>
      <c r="V8" s="121">
        <f>'Transmigration C035 (closed)'!Q10</f>
        <v>0</v>
      </c>
      <c r="W8" s="121">
        <f>'Transmigration C035 (closed)'!R10</f>
        <v>0</v>
      </c>
      <c r="X8" s="121">
        <f>'Transmigration C035 (closed)'!S10</f>
        <v>0</v>
      </c>
      <c r="Y8" s="121">
        <f>'Transmigration C035 (closed)'!T10</f>
        <v>0</v>
      </c>
      <c r="Z8" s="121">
        <f>'Transmigration C035 (closed)'!U10</f>
        <v>0</v>
      </c>
      <c r="AA8" s="121">
        <f>'Transmigration C035 (closed)'!V10</f>
        <v>0</v>
      </c>
      <c r="AB8" s="51"/>
      <c r="AE8" s="119">
        <f t="shared" si="1"/>
        <v>0</v>
      </c>
      <c r="AF8" s="119">
        <f t="shared" si="2"/>
        <v>0</v>
      </c>
      <c r="AH8" s="258">
        <f t="shared" si="3"/>
        <v>0</v>
      </c>
      <c r="AJ8" s="211"/>
      <c r="AK8" s="29" t="s">
        <v>342</v>
      </c>
    </row>
    <row r="9" spans="1:38" s="17" customFormat="1" x14ac:dyDescent="0.55000000000000004">
      <c r="A9" s="17" t="s">
        <v>166</v>
      </c>
      <c r="B9" s="138" t="s">
        <v>143</v>
      </c>
      <c r="C9" s="142" t="s">
        <v>4</v>
      </c>
      <c r="D9" s="16" t="s">
        <v>73</v>
      </c>
      <c r="E9" s="41"/>
      <c r="F9" s="18">
        <f>50000+6710</f>
        <v>56710</v>
      </c>
      <c r="G9" s="18"/>
      <c r="H9" s="74">
        <v>5000</v>
      </c>
      <c r="I9" s="19">
        <f t="shared" si="0"/>
        <v>56710</v>
      </c>
      <c r="J9" s="68"/>
      <c r="K9" s="88">
        <f>'P Quay Morgan C036 (closed)'!G11</f>
        <v>56710</v>
      </c>
      <c r="L9" s="124">
        <f>'P Quay Morgan C036 (closed)'!F11</f>
        <v>0</v>
      </c>
      <c r="M9" s="107"/>
      <c r="N9" s="120">
        <f>'P Quay Morgan C036 (closed)'!J11</f>
        <v>0</v>
      </c>
      <c r="O9" s="52"/>
      <c r="P9" s="124">
        <f>'P Quay Morgan C036 (closed)'!K11</f>
        <v>0</v>
      </c>
      <c r="Q9" s="124">
        <f>'P Quay Morgan C036 (closed)'!L11</f>
        <v>0</v>
      </c>
      <c r="R9" s="124">
        <f>'P Quay Morgan C036 (closed)'!M11</f>
        <v>0</v>
      </c>
      <c r="S9" s="124">
        <f>'P Quay Morgan C036 (closed)'!N11</f>
        <v>0</v>
      </c>
      <c r="T9" s="124">
        <f>'P Quay Morgan C036 (closed)'!O11</f>
        <v>0</v>
      </c>
      <c r="U9" s="124">
        <f>'P Quay Morgan C036 (closed)'!P11</f>
        <v>0</v>
      </c>
      <c r="V9" s="124">
        <f>'P Quay Morgan C036 (closed)'!Q11</f>
        <v>0</v>
      </c>
      <c r="W9" s="124">
        <f>'P Quay Morgan C036 (closed)'!R11</f>
        <v>0</v>
      </c>
      <c r="X9" s="124">
        <f>'P Quay Morgan C036 (closed)'!S11</f>
        <v>0</v>
      </c>
      <c r="Y9" s="124">
        <f>'P Quay Morgan C036 (closed)'!T11</f>
        <v>0</v>
      </c>
      <c r="Z9" s="124">
        <f>'P Quay Morgan C036 (closed)'!U11</f>
        <v>0</v>
      </c>
      <c r="AA9" s="124"/>
      <c r="AB9" s="52"/>
      <c r="AE9" s="119">
        <f t="shared" si="1"/>
        <v>0</v>
      </c>
      <c r="AF9" s="119">
        <f t="shared" si="2"/>
        <v>0</v>
      </c>
      <c r="AH9" s="258">
        <f t="shared" si="3"/>
        <v>0</v>
      </c>
      <c r="AJ9" s="211"/>
      <c r="AK9" s="17" t="s">
        <v>342</v>
      </c>
    </row>
    <row r="10" spans="1:38" s="25" customFormat="1" x14ac:dyDescent="0.55000000000000004">
      <c r="A10" s="25" t="s">
        <v>171</v>
      </c>
      <c r="B10" s="143"/>
      <c r="C10" s="143" t="s">
        <v>82</v>
      </c>
      <c r="D10" s="24" t="s">
        <v>74</v>
      </c>
      <c r="E10" s="41"/>
      <c r="F10" s="26">
        <v>0</v>
      </c>
      <c r="G10" s="26">
        <v>83750</v>
      </c>
      <c r="H10" s="77">
        <v>35000</v>
      </c>
      <c r="I10" s="27">
        <f t="shared" si="0"/>
        <v>83750</v>
      </c>
      <c r="J10" s="64"/>
      <c r="K10" s="157">
        <f>'GFSmith Paper City C039'!H8</f>
        <v>79503</v>
      </c>
      <c r="L10" s="157">
        <f>'GFSmith Paper City C039'!I8</f>
        <v>0</v>
      </c>
      <c r="M10" s="103"/>
      <c r="N10" s="157"/>
      <c r="O10" s="158"/>
      <c r="P10" s="157"/>
      <c r="Q10" s="157">
        <f>'GFSmith Paper City C039'!M8</f>
        <v>0</v>
      </c>
      <c r="R10" s="157">
        <f>'GFSmith Paper City C039'!N8</f>
        <v>0</v>
      </c>
      <c r="S10" s="157">
        <f>'GFSmith Paper City C039'!O8</f>
        <v>0</v>
      </c>
      <c r="T10" s="157">
        <f>'GFSmith Paper City C039'!P8</f>
        <v>0</v>
      </c>
      <c r="U10" s="157">
        <f>'GFSmith Paper City C039'!Q8</f>
        <v>0</v>
      </c>
      <c r="V10" s="157">
        <f>'GFSmith Paper City C039'!R8</f>
        <v>0</v>
      </c>
      <c r="W10" s="157">
        <f>'GFSmith Paper City C039'!S8</f>
        <v>0</v>
      </c>
      <c r="X10" s="157">
        <f>'GFSmith Paper City C039'!T8</f>
        <v>0</v>
      </c>
      <c r="Y10" s="157">
        <f>'GFSmith Paper City C039'!U8</f>
        <v>0</v>
      </c>
      <c r="Z10" s="157">
        <f>'GFSmith Paper City C039'!V8</f>
        <v>0</v>
      </c>
      <c r="AA10" s="157">
        <f>'GFSmith Paper City C039'!W8</f>
        <v>0</v>
      </c>
      <c r="AB10" s="49"/>
      <c r="AE10" s="119">
        <f t="shared" si="1"/>
        <v>0</v>
      </c>
      <c r="AF10" s="119">
        <f t="shared" si="2"/>
        <v>4247</v>
      </c>
      <c r="AH10" s="258">
        <f t="shared" si="3"/>
        <v>4247</v>
      </c>
      <c r="AJ10" s="211"/>
      <c r="AK10" s="25">
        <v>79503</v>
      </c>
    </row>
    <row r="11" spans="1:38" s="33" customFormat="1" x14ac:dyDescent="0.55000000000000004">
      <c r="A11" s="33" t="s">
        <v>167</v>
      </c>
      <c r="B11" s="138"/>
      <c r="C11" s="139" t="s">
        <v>83</v>
      </c>
      <c r="D11" s="32" t="s">
        <v>75</v>
      </c>
      <c r="E11" s="41"/>
      <c r="F11" s="34">
        <f>22000+3000+420</f>
        <v>25420</v>
      </c>
      <c r="G11" s="34"/>
      <c r="H11" s="76">
        <v>10000</v>
      </c>
      <c r="I11" s="35">
        <f t="shared" si="0"/>
        <v>25420</v>
      </c>
      <c r="J11" s="69"/>
      <c r="K11" s="89">
        <f>'HSAD Bob C038'!G10</f>
        <v>26565</v>
      </c>
      <c r="L11" s="129">
        <f>'HSAD Bob C038'!F10</f>
        <v>0</v>
      </c>
      <c r="M11" s="108"/>
      <c r="N11" s="129">
        <f>'HSAD Bob C038'!J10</f>
        <v>0</v>
      </c>
      <c r="O11" s="53"/>
      <c r="P11" s="129">
        <f>'HSAD Bob C038'!K10</f>
        <v>0</v>
      </c>
      <c r="Q11" s="129">
        <f>'HSAD Bob C038'!L10</f>
        <v>0</v>
      </c>
      <c r="R11" s="129">
        <f>'HSAD Bob C038'!M10</f>
        <v>0</v>
      </c>
      <c r="S11" s="129">
        <f>'HSAD Bob C038'!N10</f>
        <v>0</v>
      </c>
      <c r="T11" s="129">
        <f>'HSAD Bob C038'!O10</f>
        <v>0</v>
      </c>
      <c r="U11" s="129">
        <f>'HSAD Bob C038'!P10</f>
        <v>0</v>
      </c>
      <c r="V11" s="129">
        <f>'HSAD Bob C038'!Q10</f>
        <v>0</v>
      </c>
      <c r="W11" s="129">
        <f>'HSAD Bob C038'!R10</f>
        <v>0</v>
      </c>
      <c r="X11" s="129">
        <f>'HSAD Bob C038'!S10</f>
        <v>0</v>
      </c>
      <c r="Y11" s="129">
        <f>'HSAD Bob C038'!T10</f>
        <v>0</v>
      </c>
      <c r="Z11" s="129">
        <f>'HSAD Bob C038'!U10</f>
        <v>0</v>
      </c>
      <c r="AA11" s="129">
        <f>'HSAD Bob C038'!V10</f>
        <v>0</v>
      </c>
      <c r="AB11" s="129"/>
      <c r="AC11" s="129">
        <f>'HSAD Bob C038'!W10</f>
        <v>0</v>
      </c>
      <c r="AE11" s="119">
        <f t="shared" si="1"/>
        <v>0</v>
      </c>
      <c r="AF11" s="119">
        <f t="shared" si="2"/>
        <v>-1145</v>
      </c>
      <c r="AH11" s="258">
        <f t="shared" si="3"/>
        <v>-1145</v>
      </c>
      <c r="AJ11" s="211"/>
      <c r="AK11" s="33">
        <v>26565</v>
      </c>
    </row>
    <row r="12" spans="1:38" s="37" customFormat="1" x14ac:dyDescent="0.55000000000000004">
      <c r="B12" s="144"/>
      <c r="C12" s="144"/>
      <c r="D12" s="36" t="s">
        <v>24</v>
      </c>
      <c r="E12" s="41"/>
      <c r="F12" s="38">
        <v>0</v>
      </c>
      <c r="G12" s="38"/>
      <c r="H12" s="78"/>
      <c r="I12" s="39">
        <f t="shared" si="0"/>
        <v>0</v>
      </c>
      <c r="J12" s="70"/>
      <c r="K12" s="90"/>
      <c r="L12" s="90"/>
      <c r="M12" s="109"/>
      <c r="O12" s="54"/>
      <c r="AB12" s="54"/>
      <c r="AE12" s="119">
        <f t="shared" si="1"/>
        <v>0</v>
      </c>
      <c r="AF12" s="119">
        <f t="shared" si="2"/>
        <v>0</v>
      </c>
      <c r="AH12" s="258">
        <f t="shared" si="3"/>
        <v>0</v>
      </c>
      <c r="AJ12" s="211"/>
      <c r="AK12" s="37">
        <v>0</v>
      </c>
    </row>
    <row r="13" spans="1:38" s="6" customFormat="1" x14ac:dyDescent="0.55000000000000004">
      <c r="A13" s="6" t="s">
        <v>244</v>
      </c>
      <c r="B13" s="136"/>
      <c r="C13" s="136" t="s">
        <v>84</v>
      </c>
      <c r="D13" s="13" t="s">
        <v>46</v>
      </c>
      <c r="E13" s="41" t="s">
        <v>155</v>
      </c>
      <c r="F13" s="14">
        <f>25000+2588-157</f>
        <v>27431</v>
      </c>
      <c r="G13" s="14">
        <v>20000</v>
      </c>
      <c r="H13" s="75"/>
      <c r="I13" s="15">
        <f t="shared" si="0"/>
        <v>47431</v>
      </c>
      <c r="J13" s="65"/>
      <c r="K13" s="114">
        <f>'Deep Kovats C041(closed)'!G12</f>
        <v>47431</v>
      </c>
      <c r="L13" s="114">
        <f>'Deep Kovats C041(closed)'!H12</f>
        <v>0</v>
      </c>
      <c r="M13" s="104"/>
      <c r="N13" s="117">
        <f>'Deep Kovats C041(closed)'!J12</f>
        <v>0</v>
      </c>
      <c r="O13" s="50"/>
      <c r="P13" s="117">
        <f>'Deep Kovats C041(closed)'!K12</f>
        <v>0</v>
      </c>
      <c r="Q13" s="117">
        <f>'Deep Kovats C041(closed)'!L12</f>
        <v>0</v>
      </c>
      <c r="R13" s="117">
        <f>'Deep Kovats C041(closed)'!M12</f>
        <v>0</v>
      </c>
      <c r="S13" s="117">
        <f>'Deep Kovats C041(closed)'!N12</f>
        <v>0</v>
      </c>
      <c r="T13" s="117">
        <f>'Deep Kovats C041(closed)'!O12</f>
        <v>0</v>
      </c>
      <c r="U13" s="117">
        <f>'Deep Kovats C041(closed)'!P12</f>
        <v>0</v>
      </c>
      <c r="V13" s="117">
        <f>'Deep Kovats C041(closed)'!Q12</f>
        <v>0</v>
      </c>
      <c r="W13" s="117">
        <f>'Deep Kovats C041(closed)'!R12</f>
        <v>0</v>
      </c>
      <c r="X13" s="117">
        <f>'Deep Kovats C041(closed)'!S12</f>
        <v>0</v>
      </c>
      <c r="Y13" s="117">
        <f>'Deep Kovats C041(closed)'!T12</f>
        <v>0</v>
      </c>
      <c r="Z13" s="117">
        <f>'Deep Kovats C041(closed)'!U12</f>
        <v>0</v>
      </c>
      <c r="AA13" s="117"/>
      <c r="AB13" s="50"/>
      <c r="AE13" s="119">
        <f t="shared" si="1"/>
        <v>0</v>
      </c>
      <c r="AF13" s="119">
        <f t="shared" si="2"/>
        <v>0</v>
      </c>
      <c r="AH13" s="258">
        <f t="shared" si="3"/>
        <v>0</v>
      </c>
      <c r="AJ13" s="211"/>
      <c r="AK13" s="6">
        <v>47793</v>
      </c>
    </row>
    <row r="14" spans="1:38" s="42" customFormat="1" x14ac:dyDescent="0.55000000000000004">
      <c r="A14" s="42" t="s">
        <v>168</v>
      </c>
      <c r="B14" s="140"/>
      <c r="C14" s="140" t="s">
        <v>85</v>
      </c>
      <c r="D14" s="41" t="s">
        <v>25</v>
      </c>
      <c r="E14" s="41" t="s">
        <v>155</v>
      </c>
      <c r="F14" s="43">
        <f>50000+14000+1500+2574</f>
        <v>68074</v>
      </c>
      <c r="G14" s="43"/>
      <c r="H14" s="79">
        <v>10000</v>
      </c>
      <c r="I14" s="44">
        <f t="shared" si="0"/>
        <v>68074</v>
      </c>
      <c r="J14" s="71"/>
      <c r="K14" s="91">
        <f>'RIBA C042'!G12</f>
        <v>86602</v>
      </c>
      <c r="L14" s="91">
        <f>'RIBA C042'!H12</f>
        <v>0</v>
      </c>
      <c r="M14" s="110"/>
      <c r="N14" s="122">
        <f>'RIBA C042'!J12</f>
        <v>0</v>
      </c>
      <c r="O14" s="55"/>
      <c r="P14" s="122">
        <f>'RIBA C042'!K12</f>
        <v>0</v>
      </c>
      <c r="Q14" s="122">
        <f>'RIBA C042'!L12</f>
        <v>0</v>
      </c>
      <c r="R14" s="122">
        <f>'RIBA C042'!M12</f>
        <v>0</v>
      </c>
      <c r="S14" s="122">
        <f>'RIBA C042'!N12</f>
        <v>0</v>
      </c>
      <c r="T14" s="122">
        <f>'RIBA C042'!O12</f>
        <v>0</v>
      </c>
      <c r="U14" s="122">
        <f>'RIBA C042'!P12</f>
        <v>0</v>
      </c>
      <c r="V14" s="122">
        <f>'RIBA C042'!Q12</f>
        <v>0</v>
      </c>
      <c r="W14" s="122">
        <f>'RIBA C042'!R12</f>
        <v>0</v>
      </c>
      <c r="X14" s="122">
        <f>'RIBA C042'!S12</f>
        <v>0</v>
      </c>
      <c r="Y14" s="122">
        <f>'RIBA C042'!T12</f>
        <v>0</v>
      </c>
      <c r="Z14" s="122">
        <f>'RIBA C042'!U12</f>
        <v>0</v>
      </c>
      <c r="AA14" s="122">
        <f>'RIBA C042'!V12</f>
        <v>0</v>
      </c>
      <c r="AB14" s="55"/>
      <c r="AE14" s="119">
        <f t="shared" si="1"/>
        <v>0</v>
      </c>
      <c r="AF14" s="119">
        <f t="shared" si="2"/>
        <v>-18528</v>
      </c>
      <c r="AH14" s="258">
        <f t="shared" si="3"/>
        <v>-18528</v>
      </c>
      <c r="AJ14" s="211"/>
      <c r="AK14" s="42">
        <v>86601</v>
      </c>
    </row>
    <row r="15" spans="1:38" s="6" customFormat="1" x14ac:dyDescent="0.55000000000000004">
      <c r="A15" s="6" t="s">
        <v>245</v>
      </c>
      <c r="B15" s="138" t="s">
        <v>26</v>
      </c>
      <c r="C15" s="136" t="s">
        <v>86</v>
      </c>
      <c r="D15" s="13" t="s">
        <v>49</v>
      </c>
      <c r="E15" s="41" t="s">
        <v>155</v>
      </c>
      <c r="F15" s="14">
        <f>50000+157</f>
        <v>50157</v>
      </c>
      <c r="G15" s="14">
        <v>45000</v>
      </c>
      <c r="H15" s="75"/>
      <c r="I15" s="15">
        <f t="shared" si="0"/>
        <v>95157</v>
      </c>
      <c r="J15" s="65"/>
      <c r="K15" s="85">
        <f>'Deep No3 C045'!G12</f>
        <v>91436</v>
      </c>
      <c r="L15" s="85">
        <f>'Deep No3 C045'!I12</f>
        <v>0</v>
      </c>
      <c r="M15" s="104"/>
      <c r="N15" s="117">
        <f>'Deep No3 C045'!J12</f>
        <v>0</v>
      </c>
      <c r="O15" s="50"/>
      <c r="P15" s="117">
        <f>'Deep No3 C045'!K12</f>
        <v>0</v>
      </c>
      <c r="Q15" s="117">
        <f>'Deep No3 C045'!L12</f>
        <v>0</v>
      </c>
      <c r="R15" s="117">
        <f>'Deep No3 C045'!M12</f>
        <v>0</v>
      </c>
      <c r="S15" s="117">
        <f>'Deep No3 C045'!N12</f>
        <v>0</v>
      </c>
      <c r="T15" s="117">
        <f>'Deep No3 C045'!O12</f>
        <v>0</v>
      </c>
      <c r="U15" s="117">
        <f>'Deep No3 C045'!P12</f>
        <v>0</v>
      </c>
      <c r="V15" s="117">
        <f>'Deep No3 C045'!Q12</f>
        <v>0</v>
      </c>
      <c r="W15" s="117">
        <f>'Deep No3 C045'!R12</f>
        <v>0</v>
      </c>
      <c r="X15" s="117">
        <f>'Deep No3 C045'!S12</f>
        <v>0</v>
      </c>
      <c r="Y15" s="117">
        <f>'Deep No3 C045'!T12</f>
        <v>0</v>
      </c>
      <c r="Z15" s="117">
        <f>'Deep No3 C045'!U12</f>
        <v>0</v>
      </c>
      <c r="AA15" s="117">
        <f>'Deep No3 C045'!V12</f>
        <v>0</v>
      </c>
      <c r="AB15" s="50"/>
      <c r="AC15" s="117">
        <f>'Deep No3 C045'!W12</f>
        <v>3721</v>
      </c>
      <c r="AE15" s="119">
        <f t="shared" si="1"/>
        <v>3721</v>
      </c>
      <c r="AF15" s="119">
        <f t="shared" si="2"/>
        <v>3721</v>
      </c>
      <c r="AH15" s="258">
        <f t="shared" si="3"/>
        <v>0</v>
      </c>
      <c r="AJ15" s="211"/>
      <c r="AK15" s="6">
        <v>91436</v>
      </c>
      <c r="AL15" s="6">
        <v>989</v>
      </c>
    </row>
    <row r="16" spans="1:38" s="29" customFormat="1" x14ac:dyDescent="0.55000000000000004">
      <c r="A16" s="29" t="s">
        <v>169</v>
      </c>
      <c r="B16" s="137" t="s">
        <v>27</v>
      </c>
      <c r="C16" s="141" t="s">
        <v>87</v>
      </c>
      <c r="D16" s="176" t="s">
        <v>28</v>
      </c>
      <c r="E16" s="174"/>
      <c r="F16" s="177">
        <v>0</v>
      </c>
      <c r="G16" s="30"/>
      <c r="H16" s="80">
        <f>40000-40000</f>
        <v>0</v>
      </c>
      <c r="I16" s="31">
        <f t="shared" si="0"/>
        <v>0</v>
      </c>
      <c r="J16" s="67"/>
      <c r="K16" s="87">
        <f>'P Quay Xmas C044'!G10</f>
        <v>0</v>
      </c>
      <c r="L16" s="87">
        <f>'P Quay Xmas C044'!H10</f>
        <v>0</v>
      </c>
      <c r="M16" s="106"/>
      <c r="N16" s="121"/>
      <c r="O16" s="5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51"/>
      <c r="AE16" s="119">
        <f t="shared" si="1"/>
        <v>0</v>
      </c>
      <c r="AF16" s="119">
        <f t="shared" si="2"/>
        <v>0</v>
      </c>
      <c r="AH16" s="258">
        <f t="shared" si="3"/>
        <v>0</v>
      </c>
      <c r="AJ16" s="211"/>
      <c r="AK16" s="29">
        <v>0</v>
      </c>
    </row>
    <row r="17" spans="1:38" s="59" customFormat="1" x14ac:dyDescent="0.55000000000000004">
      <c r="A17" s="59" t="s">
        <v>170</v>
      </c>
      <c r="B17" s="145"/>
      <c r="C17" s="145" t="s">
        <v>87</v>
      </c>
      <c r="D17" s="178" t="s">
        <v>29</v>
      </c>
      <c r="E17" s="174"/>
      <c r="F17" s="179">
        <v>0</v>
      </c>
      <c r="G17" s="57"/>
      <c r="H17" s="81">
        <f>80000-80000</f>
        <v>0</v>
      </c>
      <c r="I17" s="58">
        <f t="shared" si="0"/>
        <v>0</v>
      </c>
      <c r="J17" s="72"/>
      <c r="K17" s="92">
        <f>'Hull Xmas Lts C046'!G13</f>
        <v>0</v>
      </c>
      <c r="L17" s="92">
        <f>'Hull Xmas Lts C046'!H13</f>
        <v>0</v>
      </c>
      <c r="M17" s="111"/>
      <c r="N17" s="59">
        <f>'Hull Xmas Lts C046'!I13</f>
        <v>0</v>
      </c>
      <c r="O17" s="60"/>
      <c r="T17" s="183">
        <f>'Hull Xmas Lts C046'!N13</f>
        <v>0</v>
      </c>
      <c r="AB17" s="60"/>
      <c r="AE17" s="119">
        <f t="shared" si="1"/>
        <v>0</v>
      </c>
      <c r="AF17" s="119">
        <f t="shared" si="2"/>
        <v>0</v>
      </c>
      <c r="AH17" s="258">
        <f t="shared" si="3"/>
        <v>0</v>
      </c>
      <c r="AJ17" s="211"/>
      <c r="AK17" s="59">
        <v>0</v>
      </c>
    </row>
    <row r="18" spans="1:38" s="3" customFormat="1" x14ac:dyDescent="0.55000000000000004">
      <c r="B18" s="137"/>
      <c r="C18" s="137"/>
      <c r="D18" s="3" t="s">
        <v>157</v>
      </c>
      <c r="E18" s="41"/>
      <c r="F18" s="266">
        <f>172500+1000+601</f>
        <v>174101</v>
      </c>
      <c r="G18" s="14">
        <v>7500</v>
      </c>
      <c r="H18" s="40"/>
      <c r="I18" s="40">
        <f t="shared" si="0"/>
        <v>181601</v>
      </c>
      <c r="J18" s="73"/>
      <c r="K18" s="93">
        <f>+'Live C030'!G7</f>
        <v>173480</v>
      </c>
      <c r="L18" s="93">
        <f>+'Live C030'!H7</f>
        <v>10435</v>
      </c>
      <c r="M18" s="112"/>
      <c r="N18" s="11">
        <f>'Live C030'!J7</f>
        <v>0</v>
      </c>
      <c r="O18" s="47"/>
      <c r="P18" s="11">
        <f>'Live C030'!K7</f>
        <v>0</v>
      </c>
      <c r="Q18" s="11">
        <f>'Live C030'!L7</f>
        <v>0</v>
      </c>
      <c r="R18" s="11">
        <f>'Live C030'!M7</f>
        <v>0</v>
      </c>
      <c r="S18" s="11">
        <f>'Live C030'!N7</f>
        <v>0</v>
      </c>
      <c r="T18" s="11">
        <f>'Live C030'!O7</f>
        <v>0</v>
      </c>
      <c r="U18" s="11">
        <f>'Live C030'!P7</f>
        <v>0</v>
      </c>
      <c r="V18" s="11">
        <f>'Live C030'!Q7</f>
        <v>0</v>
      </c>
      <c r="W18" s="11">
        <f>'Live C030'!R7</f>
        <v>0</v>
      </c>
      <c r="X18" s="11">
        <f>'Live C030'!S7</f>
        <v>0</v>
      </c>
      <c r="Y18" s="11">
        <f>'Live C030'!T7</f>
        <v>0</v>
      </c>
      <c r="Z18" s="11">
        <f>'Live C030'!U7</f>
        <v>0</v>
      </c>
      <c r="AA18" s="218">
        <f>'Live C030'!V7</f>
        <v>1420</v>
      </c>
      <c r="AB18" s="47"/>
      <c r="AC18" s="11">
        <f>'Live C030'!W7</f>
        <v>5215</v>
      </c>
      <c r="AD18" s="218">
        <f>'Live C030'!X7</f>
        <v>3800</v>
      </c>
      <c r="AE18" s="119">
        <f>N18+P18+Q18+R18+S18+T18+U18+V18+W18+X18+Y18+Z18+AA18+AC18+AD18</f>
        <v>10435</v>
      </c>
      <c r="AF18" s="119">
        <f t="shared" si="2"/>
        <v>8121</v>
      </c>
      <c r="AG18" s="218"/>
      <c r="AH18" s="258">
        <f t="shared" si="3"/>
        <v>-2314</v>
      </c>
      <c r="AJ18" s="211"/>
      <c r="AK18" s="3">
        <v>149900</v>
      </c>
      <c r="AL18" s="3">
        <v>10435</v>
      </c>
    </row>
    <row r="19" spans="1:38" s="3" customFormat="1" x14ac:dyDescent="0.55000000000000004">
      <c r="D19" s="3" t="s">
        <v>30</v>
      </c>
      <c r="E19" s="41"/>
      <c r="F19" s="266">
        <f>2500-601+271</f>
        <v>2170</v>
      </c>
      <c r="G19" s="40"/>
      <c r="H19" s="40"/>
      <c r="I19" s="40">
        <f t="shared" si="0"/>
        <v>2170</v>
      </c>
      <c r="J19" s="73"/>
      <c r="K19" s="93">
        <f>'Live C030'!G6+'Live C030'!G10+'Live C030'!G5</f>
        <v>2170.33</v>
      </c>
      <c r="L19" s="93">
        <f>'Live C030'!H6+'Live C030'!H10+'Live C030'!H5</f>
        <v>0</v>
      </c>
      <c r="M19" s="112"/>
      <c r="N19" s="11">
        <f>'Live C030'!J5</f>
        <v>0</v>
      </c>
      <c r="O19" s="47"/>
      <c r="P19" s="151">
        <f>'Live C030'!K5</f>
        <v>0</v>
      </c>
      <c r="Q19" s="151">
        <f>'Live C030'!L5</f>
        <v>0</v>
      </c>
      <c r="R19" s="151">
        <f>'Live C030'!M5</f>
        <v>0</v>
      </c>
      <c r="S19" s="151">
        <f>'Live C030'!N5</f>
        <v>0</v>
      </c>
      <c r="T19" s="151">
        <f>'Live C030'!O5</f>
        <v>0</v>
      </c>
      <c r="U19" s="151">
        <f>'Live C030'!P5</f>
        <v>0</v>
      </c>
      <c r="V19" s="151">
        <f>'Live C030'!Q5</f>
        <v>0</v>
      </c>
      <c r="W19" s="151">
        <f>'Live C030'!R5</f>
        <v>0</v>
      </c>
      <c r="X19" s="151">
        <f>'Live C030'!S5</f>
        <v>0</v>
      </c>
      <c r="Y19" s="151">
        <f>'Live C030'!T5</f>
        <v>0</v>
      </c>
      <c r="Z19" s="151">
        <f>'Live C030'!U5</f>
        <v>0</v>
      </c>
      <c r="AA19" s="151">
        <f>'Live C030'!V5</f>
        <v>0</v>
      </c>
      <c r="AB19" s="47"/>
      <c r="AE19" s="119">
        <f t="shared" si="1"/>
        <v>0</v>
      </c>
      <c r="AF19" s="119">
        <f t="shared" si="2"/>
        <v>-0.32999999999992724</v>
      </c>
      <c r="AH19" s="258">
        <f t="shared" si="3"/>
        <v>-0.32999999999992724</v>
      </c>
      <c r="AJ19" s="211"/>
    </row>
    <row r="20" spans="1:38" s="3" customFormat="1" x14ac:dyDescent="0.55000000000000004">
      <c r="D20" s="3" t="s">
        <v>89</v>
      </c>
      <c r="E20" s="41"/>
      <c r="F20" s="266">
        <f>16000+2595-1500-271-2574</f>
        <v>14250</v>
      </c>
      <c r="G20" s="40"/>
      <c r="H20" s="40"/>
      <c r="I20" s="40">
        <f t="shared" si="0"/>
        <v>14250</v>
      </c>
      <c r="J20" s="73"/>
      <c r="K20" s="93">
        <f>'Live C030'!G9</f>
        <v>14250</v>
      </c>
      <c r="L20" s="93">
        <f>'Live C030'!H9</f>
        <v>0</v>
      </c>
      <c r="M20" s="112"/>
      <c r="N20" s="11">
        <f>'Live C030'!J9</f>
        <v>0</v>
      </c>
      <c r="O20" s="47"/>
      <c r="P20" s="11">
        <f>'Live C030'!K9</f>
        <v>0</v>
      </c>
      <c r="Q20" s="11">
        <f>'Live C030'!L9</f>
        <v>0</v>
      </c>
      <c r="R20" s="11">
        <f>'Live C030'!M9</f>
        <v>0</v>
      </c>
      <c r="S20" s="11">
        <f>'Live C030'!N9</f>
        <v>0</v>
      </c>
      <c r="T20" s="11">
        <f>'Live C030'!O9</f>
        <v>0</v>
      </c>
      <c r="U20" s="11">
        <f>'Live C030'!P9</f>
        <v>0</v>
      </c>
      <c r="V20" s="11">
        <f>'Live C030'!Q9</f>
        <v>0</v>
      </c>
      <c r="W20" s="11">
        <f>'Live C030'!R9</f>
        <v>0</v>
      </c>
      <c r="X20" s="11">
        <f>'Live C030'!S9</f>
        <v>0</v>
      </c>
      <c r="Y20" s="11">
        <f>'Live C030'!T9</f>
        <v>0</v>
      </c>
      <c r="Z20" s="11">
        <f>'Live C030'!U9</f>
        <v>0</v>
      </c>
      <c r="AA20" s="218">
        <f>'Live C030'!V9</f>
        <v>0</v>
      </c>
      <c r="AB20" s="47"/>
      <c r="AE20" s="119">
        <f t="shared" si="1"/>
        <v>0</v>
      </c>
      <c r="AF20" s="119">
        <f t="shared" si="2"/>
        <v>0</v>
      </c>
      <c r="AH20" s="258">
        <f t="shared" si="3"/>
        <v>0</v>
      </c>
      <c r="AJ20" s="211"/>
    </row>
    <row r="21" spans="1:38" s="3" customFormat="1" x14ac:dyDescent="0.55000000000000004">
      <c r="D21" s="3" t="s">
        <v>66</v>
      </c>
      <c r="E21" s="41"/>
      <c r="F21" s="40">
        <f>1000-1000</f>
        <v>0</v>
      </c>
      <c r="G21" s="40"/>
      <c r="H21" s="40"/>
      <c r="I21" s="40">
        <f t="shared" si="0"/>
        <v>0</v>
      </c>
      <c r="J21" s="73"/>
      <c r="K21" s="93">
        <f>'Live C030'!G8</f>
        <v>0</v>
      </c>
      <c r="L21" s="93"/>
      <c r="M21" s="112"/>
      <c r="N21" s="11">
        <f>'Live C030'!J8</f>
        <v>0</v>
      </c>
      <c r="O21" s="47"/>
      <c r="P21" s="11">
        <f>'Live C030'!K8</f>
        <v>0</v>
      </c>
      <c r="Q21" s="11">
        <f>'Live C030'!L8</f>
        <v>0</v>
      </c>
      <c r="R21" s="11">
        <f>'Live C030'!M8</f>
        <v>0</v>
      </c>
      <c r="S21" s="11">
        <f>'Live C030'!N8</f>
        <v>0</v>
      </c>
      <c r="T21" s="11">
        <f>'Live C030'!O8</f>
        <v>0</v>
      </c>
      <c r="U21" s="11">
        <f>'Live C030'!P8</f>
        <v>0</v>
      </c>
      <c r="V21" s="11">
        <f>'Live C030'!Q8</f>
        <v>0</v>
      </c>
      <c r="W21" s="11">
        <f>'Live C030'!R8</f>
        <v>0</v>
      </c>
      <c r="X21" s="11">
        <f>'Live C030'!S8</f>
        <v>0</v>
      </c>
      <c r="Y21" s="11">
        <f>'Live C030'!T8</f>
        <v>0</v>
      </c>
      <c r="Z21" s="11">
        <f>'Live C030'!U8</f>
        <v>0</v>
      </c>
      <c r="AA21" s="218">
        <f>'Live C030'!V8</f>
        <v>0</v>
      </c>
      <c r="AB21" s="47"/>
      <c r="AE21" s="119">
        <f t="shared" si="1"/>
        <v>0</v>
      </c>
      <c r="AF21" s="119">
        <f t="shared" si="2"/>
        <v>0</v>
      </c>
      <c r="AH21" s="12">
        <f t="shared" si="3"/>
        <v>0</v>
      </c>
      <c r="AJ21" s="211"/>
    </row>
    <row r="22" spans="1:38" ht="14.7" thickBot="1" x14ac:dyDescent="0.6">
      <c r="B22" s="1"/>
      <c r="C22" s="1"/>
      <c r="D22" s="1" t="s">
        <v>57</v>
      </c>
      <c r="E22" s="41"/>
      <c r="F22" s="166">
        <f>SUM(F5:F21)</f>
        <v>764000</v>
      </c>
      <c r="G22" s="166">
        <f>SUM(G5:G21)</f>
        <v>353750</v>
      </c>
      <c r="H22" s="166">
        <f>SUM(H5:H21)</f>
        <v>625000</v>
      </c>
      <c r="I22" s="166">
        <f>SUM(I5:I21)</f>
        <v>1117750</v>
      </c>
      <c r="J22" s="167"/>
      <c r="K22" s="168">
        <f>SUM(K5:K21)</f>
        <v>1131591.33</v>
      </c>
      <c r="L22" s="168">
        <f>SUM(L5:L21)</f>
        <v>10435</v>
      </c>
      <c r="M22" s="169"/>
      <c r="N22" s="166">
        <f>SUM(N5:N21)</f>
        <v>0</v>
      </c>
      <c r="O22" s="170"/>
      <c r="P22" s="166">
        <f t="shared" ref="P22:AA22" si="4">SUM(P5:P21)</f>
        <v>0</v>
      </c>
      <c r="Q22" s="166">
        <f t="shared" si="4"/>
        <v>0</v>
      </c>
      <c r="R22" s="166">
        <f t="shared" si="4"/>
        <v>0</v>
      </c>
      <c r="S22" s="166">
        <f t="shared" si="4"/>
        <v>0</v>
      </c>
      <c r="T22" s="166">
        <f t="shared" si="4"/>
        <v>0</v>
      </c>
      <c r="U22" s="166">
        <f t="shared" si="4"/>
        <v>0</v>
      </c>
      <c r="V22" s="166">
        <f t="shared" si="4"/>
        <v>0</v>
      </c>
      <c r="W22" s="166">
        <f t="shared" si="4"/>
        <v>0</v>
      </c>
      <c r="X22" s="166">
        <f t="shared" si="4"/>
        <v>0</v>
      </c>
      <c r="Y22" s="166">
        <f t="shared" si="4"/>
        <v>0</v>
      </c>
      <c r="Z22" s="166">
        <f t="shared" si="4"/>
        <v>0</v>
      </c>
      <c r="AA22" s="166">
        <f t="shared" si="4"/>
        <v>1420</v>
      </c>
      <c r="AB22" s="170"/>
      <c r="AC22" s="166">
        <f>SUM(AC5:AC21)</f>
        <v>8936</v>
      </c>
      <c r="AD22" s="166">
        <f>SUM(AD5:AD21)</f>
        <v>3800</v>
      </c>
      <c r="AE22" s="171">
        <f>N22+P22+Q22+R22+S22+T22+U22+V22+W22+X22+Y22+Z22+AA22+AC22+AD22</f>
        <v>14156</v>
      </c>
      <c r="AF22" s="113">
        <f>SUM(AF5:AF21)</f>
        <v>-13841.33</v>
      </c>
      <c r="AJ22" s="211"/>
    </row>
    <row r="23" spans="1:38" ht="15" thickTop="1" thickBot="1" x14ac:dyDescent="0.6">
      <c r="K23" s="115"/>
      <c r="L23" s="115"/>
    </row>
    <row r="24" spans="1:38" x14ac:dyDescent="0.55000000000000004">
      <c r="D24" s="1" t="s">
        <v>262</v>
      </c>
      <c r="K24" s="115"/>
      <c r="L24" s="115"/>
      <c r="N24" s="10"/>
      <c r="P24" s="10"/>
      <c r="V24" s="192"/>
      <c r="W24" s="193">
        <f>I22</f>
        <v>1117750</v>
      </c>
    </row>
    <row r="25" spans="1:38" x14ac:dyDescent="0.55000000000000004">
      <c r="D25" s="5" t="s">
        <v>69</v>
      </c>
      <c r="E25" s="5"/>
      <c r="K25" s="115"/>
      <c r="N25" s="10"/>
      <c r="P25" s="10"/>
      <c r="V25" s="194"/>
      <c r="W25" s="195">
        <f>AE22+K22</f>
        <v>1145747.33</v>
      </c>
      <c r="AF25" s="10"/>
    </row>
    <row r="26" spans="1:38" ht="14.7" thickBot="1" x14ac:dyDescent="0.6">
      <c r="D26" s="1" t="s">
        <v>88</v>
      </c>
      <c r="F26" s="96"/>
      <c r="G26" s="96"/>
      <c r="H26" s="96"/>
      <c r="N26" s="135"/>
      <c r="V26" s="196" t="s">
        <v>186</v>
      </c>
      <c r="W26" s="197">
        <f>W25-W24</f>
        <v>27997.330000000075</v>
      </c>
      <c r="Y26" s="211"/>
      <c r="Z26" s="211"/>
      <c r="AA26" s="211"/>
      <c r="AC26" s="211"/>
    </row>
    <row r="27" spans="1:38" x14ac:dyDescent="0.55000000000000004">
      <c r="F27" s="96"/>
      <c r="G27" s="96"/>
      <c r="H27" s="96"/>
      <c r="N27" s="135"/>
      <c r="Y27" s="211"/>
      <c r="Z27" s="211"/>
      <c r="AA27" s="211"/>
      <c r="AC27" s="211"/>
    </row>
    <row r="28" spans="1:38" x14ac:dyDescent="0.55000000000000004">
      <c r="D28" s="180" t="s">
        <v>3</v>
      </c>
      <c r="E28" s="97"/>
      <c r="F28" s="96"/>
      <c r="G28" s="96"/>
      <c r="H28" s="96"/>
      <c r="I28" s="98"/>
      <c r="J28" s="96"/>
      <c r="K28" s="132"/>
      <c r="L28" s="132"/>
      <c r="M28" s="132"/>
      <c r="N28" s="96"/>
      <c r="Y28" s="211"/>
      <c r="Z28" s="211"/>
      <c r="AA28" s="211"/>
      <c r="AC28" s="211"/>
    </row>
    <row r="29" spans="1:38" x14ac:dyDescent="0.55000000000000004">
      <c r="D29" s="131" t="s">
        <v>173</v>
      </c>
      <c r="E29" s="146"/>
      <c r="F29" s="184">
        <f>G5</f>
        <v>180000</v>
      </c>
      <c r="G29" s="131"/>
      <c r="H29" s="131"/>
      <c r="I29" s="131"/>
      <c r="J29" s="131"/>
      <c r="K29" s="131"/>
      <c r="L29" s="131"/>
      <c r="M29" s="132"/>
      <c r="N29" s="96"/>
      <c r="Y29" s="211"/>
      <c r="Z29" s="211"/>
      <c r="AA29" s="211"/>
      <c r="AC29" s="211"/>
    </row>
    <row r="30" spans="1:38" x14ac:dyDescent="0.55000000000000004">
      <c r="D30" s="133" t="s">
        <v>161</v>
      </c>
      <c r="E30" s="133"/>
      <c r="F30" s="188">
        <f>G7+G13+G15+G18</f>
        <v>90000</v>
      </c>
      <c r="G30" s="134"/>
      <c r="H30" s="133"/>
      <c r="I30" s="98"/>
      <c r="J30" s="96"/>
      <c r="K30" s="131"/>
      <c r="L30" s="131"/>
      <c r="M30" s="132"/>
      <c r="N30" s="96"/>
      <c r="R30" s="130"/>
      <c r="S30" s="130"/>
      <c r="Y30" s="211"/>
      <c r="Z30" s="211"/>
      <c r="AA30" s="211"/>
      <c r="AC30" s="211"/>
    </row>
    <row r="31" spans="1:38" x14ac:dyDescent="0.55000000000000004">
      <c r="D31" s="133" t="s">
        <v>162</v>
      </c>
      <c r="E31" s="133"/>
      <c r="F31" s="189">
        <f>G10</f>
        <v>83750</v>
      </c>
      <c r="G31" s="134"/>
      <c r="H31" s="133"/>
      <c r="I31" s="98"/>
      <c r="J31" s="96"/>
      <c r="K31" s="131"/>
      <c r="L31" s="131"/>
      <c r="M31" s="132"/>
      <c r="N31" s="96"/>
      <c r="R31" s="130"/>
      <c r="S31" s="130"/>
      <c r="Y31" s="211"/>
      <c r="Z31" s="211"/>
      <c r="AA31" s="211"/>
      <c r="AC31" s="211"/>
    </row>
    <row r="32" spans="1:38" x14ac:dyDescent="0.55000000000000004">
      <c r="D32" s="131" t="s">
        <v>175</v>
      </c>
      <c r="E32" s="133"/>
      <c r="F32" s="189">
        <f>G14</f>
        <v>0</v>
      </c>
      <c r="G32" s="134"/>
      <c r="H32" s="133"/>
      <c r="I32" s="98"/>
      <c r="J32" s="96"/>
      <c r="K32" s="131"/>
      <c r="L32" s="131"/>
      <c r="M32" s="132"/>
      <c r="N32" s="96"/>
      <c r="R32" s="130"/>
      <c r="S32" s="130"/>
      <c r="Y32" s="211"/>
      <c r="Z32" s="211"/>
      <c r="AA32" s="211"/>
      <c r="AC32" s="211"/>
    </row>
    <row r="33" spans="3:25" ht="14.7" thickBot="1" x14ac:dyDescent="0.6">
      <c r="D33" s="133"/>
      <c r="E33" s="133"/>
      <c r="F33" s="190">
        <f>SUM(F29:F32)</f>
        <v>353750</v>
      </c>
      <c r="G33" s="134"/>
      <c r="H33" s="133"/>
      <c r="I33" s="98"/>
      <c r="J33" s="96"/>
      <c r="K33" s="131"/>
      <c r="L33" s="131"/>
      <c r="M33" s="132"/>
      <c r="N33" s="96"/>
      <c r="R33" s="130"/>
      <c r="S33" s="130"/>
      <c r="Y33" s="135"/>
    </row>
    <row r="34" spans="3:25" ht="14.7" thickTop="1" x14ac:dyDescent="0.55000000000000004">
      <c r="D34" s="133"/>
      <c r="E34" s="133"/>
      <c r="F34" s="185"/>
      <c r="G34" s="134"/>
      <c r="H34" s="133"/>
      <c r="I34" s="98"/>
      <c r="J34" s="96"/>
      <c r="K34" s="131"/>
      <c r="L34" s="131"/>
      <c r="M34" s="132"/>
      <c r="N34" s="96"/>
      <c r="R34" s="130"/>
      <c r="S34" s="130"/>
    </row>
    <row r="35" spans="3:25" x14ac:dyDescent="0.55000000000000004">
      <c r="D35" s="181" t="s">
        <v>59</v>
      </c>
      <c r="E35" s="133"/>
      <c r="F35" s="185"/>
      <c r="G35" s="134"/>
      <c r="H35" s="133"/>
      <c r="I35" s="98"/>
      <c r="J35" s="96"/>
      <c r="K35" s="131"/>
      <c r="L35" s="131"/>
      <c r="M35" s="132"/>
      <c r="N35" s="96"/>
      <c r="R35" s="130"/>
      <c r="S35" s="130"/>
    </row>
    <row r="36" spans="3:25" x14ac:dyDescent="0.55000000000000004">
      <c r="C36" t="s">
        <v>165</v>
      </c>
      <c r="D36" s="133" t="s">
        <v>160</v>
      </c>
      <c r="E36" s="133" t="s">
        <v>198</v>
      </c>
      <c r="F36" s="189">
        <v>500000</v>
      </c>
      <c r="G36" s="134"/>
      <c r="H36" s="133"/>
      <c r="I36" s="98"/>
      <c r="J36" s="96"/>
      <c r="K36" s="131"/>
      <c r="L36" s="131"/>
      <c r="M36" s="132"/>
      <c r="N36" s="96"/>
      <c r="R36" s="130"/>
      <c r="S36" s="130"/>
    </row>
    <row r="37" spans="3:25" x14ac:dyDescent="0.55000000000000004">
      <c r="C37" t="s">
        <v>165</v>
      </c>
      <c r="D37" s="133" t="s">
        <v>173</v>
      </c>
      <c r="E37" s="133" t="s">
        <v>198</v>
      </c>
      <c r="F37" s="189">
        <v>65000</v>
      </c>
      <c r="G37" s="134"/>
      <c r="H37" s="133"/>
      <c r="I37" s="98"/>
      <c r="J37" s="96"/>
      <c r="K37" s="131"/>
      <c r="L37" s="131"/>
      <c r="M37" s="132"/>
      <c r="N37" s="96"/>
      <c r="R37" s="130"/>
      <c r="S37" s="130"/>
    </row>
    <row r="38" spans="3:25" x14ac:dyDescent="0.55000000000000004">
      <c r="C38" t="s">
        <v>166</v>
      </c>
      <c r="D38" s="133" t="s">
        <v>163</v>
      </c>
      <c r="E38" s="133"/>
      <c r="F38" s="189">
        <f>H9</f>
        <v>5000</v>
      </c>
      <c r="G38" s="134"/>
      <c r="H38" s="133"/>
      <c r="I38" s="98"/>
      <c r="J38" s="96"/>
      <c r="K38" s="131"/>
      <c r="L38" s="131"/>
      <c r="M38" s="132"/>
      <c r="N38" s="96"/>
      <c r="R38" s="130"/>
      <c r="S38" s="130"/>
    </row>
    <row r="39" spans="3:25" x14ac:dyDescent="0.55000000000000004">
      <c r="C39" t="s">
        <v>171</v>
      </c>
      <c r="D39" s="133" t="s">
        <v>162</v>
      </c>
      <c r="E39" s="133" t="s">
        <v>198</v>
      </c>
      <c r="F39" s="189">
        <f>H10</f>
        <v>35000</v>
      </c>
      <c r="G39" s="134"/>
      <c r="H39" s="133"/>
      <c r="I39" s="98"/>
      <c r="J39" s="96"/>
      <c r="K39" s="131"/>
      <c r="L39" s="131"/>
      <c r="M39" s="132"/>
      <c r="N39" s="96"/>
      <c r="R39" s="130"/>
      <c r="S39" s="130"/>
    </row>
    <row r="40" spans="3:25" x14ac:dyDescent="0.55000000000000004">
      <c r="C40" t="s">
        <v>167</v>
      </c>
      <c r="D40" s="133" t="s">
        <v>164</v>
      </c>
      <c r="E40" s="133"/>
      <c r="F40" s="189">
        <f>H11</f>
        <v>10000</v>
      </c>
      <c r="G40" s="134"/>
      <c r="H40" s="133"/>
      <c r="I40" s="98"/>
      <c r="J40" s="96"/>
      <c r="K40" s="131"/>
      <c r="L40" s="131"/>
      <c r="M40" s="132"/>
      <c r="N40" s="96"/>
      <c r="R40" s="130"/>
      <c r="S40" s="130"/>
    </row>
    <row r="41" spans="3:25" x14ac:dyDescent="0.55000000000000004">
      <c r="C41" t="s">
        <v>168</v>
      </c>
      <c r="D41" s="131" t="s">
        <v>175</v>
      </c>
      <c r="E41" s="131"/>
      <c r="F41" s="184">
        <f>H14</f>
        <v>10000</v>
      </c>
      <c r="G41" s="147"/>
      <c r="H41" s="98"/>
      <c r="I41" s="98"/>
      <c r="J41" s="131"/>
      <c r="K41" s="131"/>
      <c r="L41" s="131"/>
      <c r="M41" s="131"/>
      <c r="N41" s="96"/>
    </row>
    <row r="42" spans="3:25" x14ac:dyDescent="0.55000000000000004">
      <c r="C42" t="s">
        <v>169</v>
      </c>
      <c r="D42" s="182" t="s">
        <v>163</v>
      </c>
      <c r="E42" s="97"/>
      <c r="F42" s="186">
        <f>H16</f>
        <v>0</v>
      </c>
      <c r="G42" s="98"/>
      <c r="H42" s="98"/>
      <c r="I42" s="98"/>
      <c r="J42" s="96"/>
      <c r="K42" s="132"/>
      <c r="L42" s="132"/>
      <c r="M42" s="132"/>
      <c r="N42" s="96"/>
    </row>
    <row r="43" spans="3:25" x14ac:dyDescent="0.55000000000000004">
      <c r="C43" t="s">
        <v>170</v>
      </c>
      <c r="D43" s="182" t="s">
        <v>174</v>
      </c>
      <c r="E43" s="97"/>
      <c r="F43" s="186">
        <f>H17</f>
        <v>0</v>
      </c>
      <c r="G43" s="98"/>
      <c r="H43" s="98"/>
      <c r="I43" s="98"/>
      <c r="J43" s="96"/>
      <c r="K43" s="132"/>
      <c r="L43" s="132"/>
      <c r="M43" s="132"/>
      <c r="N43" s="96"/>
    </row>
    <row r="44" spans="3:25" ht="14.7" thickBot="1" x14ac:dyDescent="0.6">
      <c r="D44" s="97"/>
      <c r="E44" s="97"/>
      <c r="F44" s="191">
        <f>SUM(F36:F43)</f>
        <v>625000</v>
      </c>
      <c r="G44" s="148"/>
      <c r="H44" s="98"/>
      <c r="I44" s="98"/>
      <c r="J44" s="96"/>
      <c r="K44" s="132"/>
      <c r="L44" s="132"/>
      <c r="M44" s="132"/>
      <c r="N44" s="96"/>
    </row>
    <row r="45" spans="3:25" ht="14.7" thickTop="1" x14ac:dyDescent="0.55000000000000004">
      <c r="D45" s="97"/>
      <c r="E45" s="97"/>
      <c r="F45" s="98"/>
      <c r="G45" s="148"/>
      <c r="H45" s="98"/>
      <c r="I45" s="98"/>
      <c r="J45" s="96"/>
      <c r="K45" s="132"/>
      <c r="L45" s="132"/>
      <c r="M45" s="132"/>
      <c r="N45" s="96"/>
    </row>
    <row r="46" spans="3:25" x14ac:dyDescent="0.55000000000000004">
      <c r="D46" s="97"/>
      <c r="E46" s="97"/>
      <c r="F46" s="98"/>
      <c r="G46" s="148"/>
      <c r="H46" s="98"/>
      <c r="I46" s="98"/>
      <c r="J46" s="96"/>
      <c r="K46" s="132"/>
      <c r="L46" s="132"/>
      <c r="M46" s="132"/>
      <c r="N46" s="96"/>
    </row>
    <row r="47" spans="3:25" x14ac:dyDescent="0.55000000000000004">
      <c r="D47" s="97"/>
      <c r="E47" s="97"/>
      <c r="F47" s="98"/>
      <c r="G47" s="149"/>
      <c r="H47" s="98"/>
      <c r="I47" s="98"/>
      <c r="J47" s="96"/>
      <c r="K47" s="132"/>
      <c r="L47" s="132"/>
      <c r="M47" s="132"/>
      <c r="N47" s="96"/>
    </row>
    <row r="48" spans="3:25" x14ac:dyDescent="0.55000000000000004">
      <c r="D48" s="97"/>
      <c r="E48" s="97"/>
      <c r="F48" s="98"/>
      <c r="G48" s="98"/>
      <c r="H48" s="98"/>
      <c r="I48" s="98"/>
      <c r="J48" s="96"/>
      <c r="K48" s="132"/>
      <c r="L48" s="132"/>
      <c r="M48" s="132"/>
      <c r="N48" s="96"/>
    </row>
    <row r="49" spans="14:14" x14ac:dyDescent="0.55000000000000004">
      <c r="N49" s="135"/>
    </row>
    <row r="50" spans="14:14" x14ac:dyDescent="0.55000000000000004">
      <c r="N50" s="135"/>
    </row>
    <row r="51" spans="14:14" x14ac:dyDescent="0.55000000000000004">
      <c r="N51" s="135"/>
    </row>
    <row r="52" spans="14:14" x14ac:dyDescent="0.55000000000000004">
      <c r="N52" s="135"/>
    </row>
    <row r="53" spans="14:14" x14ac:dyDescent="0.55000000000000004">
      <c r="N53" s="135"/>
    </row>
    <row r="54" spans="14:14" x14ac:dyDescent="0.55000000000000004">
      <c r="N54" s="135"/>
    </row>
    <row r="55" spans="14:14" x14ac:dyDescent="0.55000000000000004">
      <c r="N55" s="135"/>
    </row>
    <row r="56" spans="14:14" x14ac:dyDescent="0.55000000000000004">
      <c r="N56" s="135"/>
    </row>
    <row r="57" spans="14:14" x14ac:dyDescent="0.55000000000000004">
      <c r="N57" s="135"/>
    </row>
    <row r="58" spans="14:14" x14ac:dyDescent="0.55000000000000004">
      <c r="N58" s="135"/>
    </row>
    <row r="59" spans="14:14" x14ac:dyDescent="0.55000000000000004">
      <c r="N59" s="135"/>
    </row>
    <row r="60" spans="14:14" x14ac:dyDescent="0.55000000000000004">
      <c r="N60" s="135"/>
    </row>
    <row r="61" spans="14:14" x14ac:dyDescent="0.55000000000000004">
      <c r="N61" s="135"/>
    </row>
    <row r="62" spans="14:14" x14ac:dyDescent="0.55000000000000004">
      <c r="N62" s="135"/>
    </row>
    <row r="63" spans="14:14" x14ac:dyDescent="0.55000000000000004">
      <c r="N63" s="135"/>
    </row>
    <row r="64" spans="14:14" x14ac:dyDescent="0.55000000000000004">
      <c r="N64" s="135"/>
    </row>
    <row r="65" spans="14:14" x14ac:dyDescent="0.55000000000000004">
      <c r="N65" s="135"/>
    </row>
    <row r="66" spans="14:14" x14ac:dyDescent="0.55000000000000004">
      <c r="N66" s="135"/>
    </row>
    <row r="67" spans="14:14" x14ac:dyDescent="0.55000000000000004">
      <c r="N67" s="135"/>
    </row>
    <row r="68" spans="14:14" x14ac:dyDescent="0.55000000000000004">
      <c r="N68" s="135"/>
    </row>
    <row r="69" spans="14:14" x14ac:dyDescent="0.55000000000000004">
      <c r="N69" s="135"/>
    </row>
    <row r="70" spans="14:14" x14ac:dyDescent="0.55000000000000004">
      <c r="N70" s="135"/>
    </row>
    <row r="71" spans="14:14" x14ac:dyDescent="0.55000000000000004">
      <c r="N71" s="135"/>
    </row>
    <row r="72" spans="14:14" x14ac:dyDescent="0.55000000000000004">
      <c r="N72" s="135"/>
    </row>
    <row r="73" spans="14:14" x14ac:dyDescent="0.55000000000000004">
      <c r="N73" s="135"/>
    </row>
    <row r="74" spans="14:14" x14ac:dyDescent="0.55000000000000004">
      <c r="N74" s="135"/>
    </row>
  </sheetData>
  <mergeCells count="1">
    <mergeCell ref="P2:AA2"/>
  </mergeCells>
  <printOptions gridLines="1"/>
  <pageMargins left="0.11811023622047245" right="0.11811023622047245" top="0.74803149606299213" bottom="0.74803149606299213" header="0.31496062992125984" footer="0.31496062992125984"/>
  <pageSetup paperSize="9" scale="61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zoomScale="90" zoomScaleNormal="90" workbookViewId="0">
      <selection activeCell="I7" sqref="I7"/>
    </sheetView>
  </sheetViews>
  <sheetFormatPr defaultRowHeight="14.4" x14ac:dyDescent="0.55000000000000004"/>
  <cols>
    <col min="1" max="1" width="23.41796875" customWidth="1"/>
    <col min="2" max="2" width="6.83984375" customWidth="1"/>
    <col min="3" max="3" width="21.41796875" customWidth="1"/>
    <col min="7" max="7" width="0.83984375" customWidth="1"/>
    <col min="10" max="10" width="1" customWidth="1"/>
    <col min="11" max="11" width="4.83984375" hidden="1" customWidth="1"/>
    <col min="12" max="12" width="5.83984375" hidden="1" customWidth="1"/>
    <col min="13" max="15" width="0" hidden="1" customWidth="1"/>
    <col min="23" max="24" width="9.15625" style="211"/>
    <col min="26" max="26" width="10.68359375" customWidth="1"/>
  </cols>
  <sheetData>
    <row r="1" spans="1:28" x14ac:dyDescent="0.55000000000000004">
      <c r="A1" s="9" t="s">
        <v>0</v>
      </c>
      <c r="B1" s="9"/>
      <c r="C1" s="9"/>
      <c r="D1" s="2"/>
      <c r="E1" s="2"/>
      <c r="F1" s="2"/>
      <c r="G1" s="2"/>
      <c r="H1" s="2"/>
      <c r="I1" s="2"/>
      <c r="J1" s="2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215"/>
      <c r="X1" s="215"/>
      <c r="Y1" s="10"/>
      <c r="Z1" s="10"/>
      <c r="AA1" s="10"/>
    </row>
    <row r="2" spans="1:28" x14ac:dyDescent="0.55000000000000004">
      <c r="A2" s="9"/>
      <c r="B2" s="9"/>
      <c r="C2" s="9"/>
      <c r="D2" s="2"/>
      <c r="E2" s="2"/>
      <c r="F2" s="2"/>
      <c r="G2" s="2"/>
      <c r="H2" s="2"/>
      <c r="I2" s="2"/>
      <c r="J2" s="2"/>
      <c r="K2" s="198"/>
      <c r="L2" s="276">
        <v>2017</v>
      </c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9" t="s">
        <v>154</v>
      </c>
      <c r="AA2" s="10"/>
    </row>
    <row r="3" spans="1:28" x14ac:dyDescent="0.55000000000000004">
      <c r="A3" s="11"/>
      <c r="B3" s="11"/>
      <c r="C3" s="11"/>
      <c r="D3" s="4" t="s">
        <v>2</v>
      </c>
      <c r="E3" s="4" t="s">
        <v>3</v>
      </c>
      <c r="F3" s="4" t="s">
        <v>59</v>
      </c>
      <c r="G3" s="62"/>
      <c r="H3" s="4" t="s">
        <v>70</v>
      </c>
      <c r="I3" s="4" t="s">
        <v>144</v>
      </c>
      <c r="J3" s="62"/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142</v>
      </c>
      <c r="Q3" s="9" t="s">
        <v>5</v>
      </c>
      <c r="R3" s="9" t="s">
        <v>6</v>
      </c>
      <c r="S3" s="9" t="s">
        <v>7</v>
      </c>
      <c r="T3" s="9" t="s">
        <v>8</v>
      </c>
      <c r="U3" s="9" t="s">
        <v>9</v>
      </c>
      <c r="V3" s="9" t="s">
        <v>10</v>
      </c>
      <c r="W3" s="217" t="s">
        <v>340</v>
      </c>
      <c r="X3" s="221" t="s">
        <v>341</v>
      </c>
      <c r="Y3" s="9" t="s">
        <v>68</v>
      </c>
      <c r="Z3" s="9" t="s">
        <v>150</v>
      </c>
      <c r="AA3" s="10"/>
    </row>
    <row r="4" spans="1:28" x14ac:dyDescent="0.55000000000000004">
      <c r="A4" s="9" t="s">
        <v>74</v>
      </c>
      <c r="B4" s="11"/>
      <c r="C4" s="11"/>
      <c r="D4" s="2"/>
      <c r="E4" s="4">
        <v>83750</v>
      </c>
      <c r="F4" s="4">
        <f>35000</f>
        <v>35000</v>
      </c>
      <c r="G4" s="62"/>
      <c r="H4" s="4"/>
      <c r="I4" s="4"/>
      <c r="J4" s="62"/>
      <c r="K4" s="120"/>
      <c r="L4" s="125"/>
      <c r="M4" s="124"/>
      <c r="N4" s="120"/>
      <c r="O4" s="120"/>
      <c r="P4" s="120"/>
      <c r="Q4" s="120"/>
      <c r="R4" s="120"/>
      <c r="S4" s="120"/>
      <c r="T4" s="11"/>
      <c r="U4" s="11"/>
      <c r="V4" s="11"/>
      <c r="W4" s="218"/>
      <c r="X4" s="218"/>
      <c r="Y4" s="11"/>
      <c r="Z4" s="10"/>
      <c r="AA4" s="10"/>
    </row>
    <row r="5" spans="1:28" x14ac:dyDescent="0.55000000000000004">
      <c r="A5" t="s">
        <v>193</v>
      </c>
      <c r="B5" t="s">
        <v>97</v>
      </c>
      <c r="C5" t="s">
        <v>196</v>
      </c>
      <c r="D5" s="10"/>
      <c r="E5" s="10">
        <v>70000</v>
      </c>
      <c r="F5" s="10"/>
      <c r="G5" s="116"/>
      <c r="H5" s="10">
        <v>70000</v>
      </c>
      <c r="I5" s="10"/>
      <c r="J5" s="116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215"/>
      <c r="X5" s="215"/>
      <c r="Y5" s="11">
        <f>SUM(K5:X5)</f>
        <v>0</v>
      </c>
      <c r="Z5" s="10">
        <f>SUM(D5:F5)-H5</f>
        <v>0</v>
      </c>
    </row>
    <row r="6" spans="1:28" x14ac:dyDescent="0.55000000000000004">
      <c r="A6" t="s">
        <v>194</v>
      </c>
      <c r="B6" t="s">
        <v>100</v>
      </c>
      <c r="C6" t="s">
        <v>195</v>
      </c>
      <c r="D6" s="10"/>
      <c r="E6" s="10">
        <f>1750-1603</f>
        <v>147</v>
      </c>
      <c r="F6" s="10"/>
      <c r="G6" s="116"/>
      <c r="H6" s="10">
        <v>147</v>
      </c>
      <c r="I6" s="10"/>
      <c r="J6" s="1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215"/>
      <c r="X6" s="215"/>
      <c r="Y6" s="218">
        <f t="shared" ref="Y6:Y7" si="0">SUM(K6:X6)</f>
        <v>0</v>
      </c>
      <c r="Z6" s="215">
        <f t="shared" ref="Z6" si="1">SUM(D6:F6)-H6</f>
        <v>0</v>
      </c>
    </row>
    <row r="7" spans="1:28" x14ac:dyDescent="0.55000000000000004">
      <c r="A7" t="s">
        <v>37</v>
      </c>
      <c r="B7" t="s">
        <v>101</v>
      </c>
      <c r="C7" t="s">
        <v>197</v>
      </c>
      <c r="D7" s="10"/>
      <c r="E7" s="10">
        <f>12000+1603</f>
        <v>13603</v>
      </c>
      <c r="F7" s="10"/>
      <c r="G7" s="116"/>
      <c r="H7" s="10">
        <v>9356</v>
      </c>
      <c r="I7" s="10"/>
      <c r="J7" s="116"/>
      <c r="K7" s="10"/>
      <c r="L7" s="10"/>
      <c r="M7" s="10"/>
      <c r="N7" s="10"/>
      <c r="O7" s="10"/>
      <c r="P7" s="10"/>
      <c r="Q7" s="10"/>
      <c r="R7" s="10"/>
      <c r="S7" s="215"/>
      <c r="T7" s="10"/>
      <c r="U7" s="10"/>
      <c r="V7" s="10"/>
      <c r="W7" s="215"/>
      <c r="X7" s="215"/>
      <c r="Y7" s="218">
        <f t="shared" si="0"/>
        <v>0</v>
      </c>
      <c r="Z7" s="215">
        <f>SUM(D7:F7)-H7-Y7</f>
        <v>4247</v>
      </c>
      <c r="AB7" s="252" t="s">
        <v>293</v>
      </c>
    </row>
    <row r="8" spans="1:28" ht="14.7" thickBot="1" x14ac:dyDescent="0.6">
      <c r="A8" s="159" t="s">
        <v>156</v>
      </c>
      <c r="B8" s="1"/>
      <c r="C8" s="1"/>
      <c r="D8" s="113"/>
      <c r="E8" s="113">
        <f>SUM(E5:E7)</f>
        <v>83750</v>
      </c>
      <c r="F8" s="113"/>
      <c r="G8" s="163"/>
      <c r="H8" s="113">
        <f>SUM(H5:H7)</f>
        <v>79503</v>
      </c>
      <c r="I8" s="113">
        <f>SUM(I5:I7)</f>
        <v>0</v>
      </c>
      <c r="J8" s="163"/>
      <c r="K8" s="113">
        <f>SUM(K6:K7)</f>
        <v>0</v>
      </c>
      <c r="L8" s="113">
        <f>SUM(L6:L7)</f>
        <v>0</v>
      </c>
      <c r="M8" s="113">
        <f>SUM(M5:M7)</f>
        <v>0</v>
      </c>
      <c r="N8" s="113">
        <f t="shared" ref="N8:X8" si="2">SUM(N5:N7)</f>
        <v>0</v>
      </c>
      <c r="O8" s="113">
        <f t="shared" si="2"/>
        <v>0</v>
      </c>
      <c r="P8" s="113">
        <f t="shared" si="2"/>
        <v>0</v>
      </c>
      <c r="Q8" s="113">
        <f t="shared" si="2"/>
        <v>0</v>
      </c>
      <c r="R8" s="113">
        <f t="shared" si="2"/>
        <v>0</v>
      </c>
      <c r="S8" s="113">
        <f t="shared" si="2"/>
        <v>0</v>
      </c>
      <c r="T8" s="113">
        <f t="shared" si="2"/>
        <v>0</v>
      </c>
      <c r="U8" s="113">
        <f t="shared" si="2"/>
        <v>0</v>
      </c>
      <c r="V8" s="113">
        <f t="shared" si="2"/>
        <v>0</v>
      </c>
      <c r="W8" s="212">
        <f t="shared" si="2"/>
        <v>0</v>
      </c>
      <c r="X8" s="212">
        <f t="shared" si="2"/>
        <v>0</v>
      </c>
      <c r="Y8" s="113">
        <f t="shared" ref="Y8" si="3">SUM(K8:V8)</f>
        <v>0</v>
      </c>
      <c r="Z8" s="113">
        <f>SUM(Z5:Z7)</f>
        <v>4247</v>
      </c>
      <c r="AB8" s="248" t="s">
        <v>316</v>
      </c>
    </row>
    <row r="9" spans="1:28" ht="14.7" thickTop="1" x14ac:dyDescent="0.55000000000000004"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215"/>
      <c r="X9" s="215"/>
      <c r="Y9" s="10"/>
      <c r="Z9" s="10"/>
    </row>
    <row r="10" spans="1:28" x14ac:dyDescent="0.55000000000000004"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215"/>
      <c r="X10" s="215"/>
      <c r="Y10" s="10"/>
      <c r="Z10" s="10"/>
      <c r="AB10" s="214"/>
    </row>
    <row r="11" spans="1:28" x14ac:dyDescent="0.55000000000000004">
      <c r="D11" s="10"/>
      <c r="E11" s="10" t="s">
        <v>344</v>
      </c>
      <c r="F11" s="10" t="s">
        <v>345</v>
      </c>
      <c r="G11" s="10"/>
      <c r="H11" s="215">
        <v>9000</v>
      </c>
      <c r="I11" s="10"/>
      <c r="J11" s="10"/>
      <c r="K11" s="10"/>
      <c r="L11" s="10"/>
      <c r="M11" s="10"/>
      <c r="N11" s="10"/>
      <c r="P11" s="215"/>
      <c r="Q11" s="215"/>
      <c r="R11" s="215"/>
      <c r="S11" s="215"/>
      <c r="T11" s="215"/>
      <c r="U11" s="10"/>
      <c r="V11" s="10"/>
      <c r="W11" s="215"/>
      <c r="X11" s="215"/>
      <c r="Y11" s="10"/>
      <c r="Z11" s="10"/>
    </row>
    <row r="12" spans="1:28" x14ac:dyDescent="0.55000000000000004">
      <c r="F12" t="s">
        <v>346</v>
      </c>
      <c r="H12" s="215">
        <v>-8000</v>
      </c>
      <c r="P12" s="215"/>
      <c r="Q12" s="215"/>
      <c r="R12" s="215"/>
      <c r="S12" s="215"/>
      <c r="T12" s="215"/>
    </row>
    <row r="14" spans="1:28" x14ac:dyDescent="0.55000000000000004">
      <c r="A14" s="230"/>
      <c r="B14" s="230"/>
      <c r="C14" s="230"/>
      <c r="D14" s="230"/>
      <c r="E14" s="230"/>
    </row>
    <row r="17" spans="1:2" x14ac:dyDescent="0.55000000000000004">
      <c r="A17" s="233" t="s">
        <v>232</v>
      </c>
    </row>
    <row r="18" spans="1:2" x14ac:dyDescent="0.55000000000000004">
      <c r="A18" s="234">
        <v>41875</v>
      </c>
      <c r="B18" s="211" t="s">
        <v>233</v>
      </c>
    </row>
    <row r="19" spans="1:2" x14ac:dyDescent="0.55000000000000004">
      <c r="A19" s="234">
        <v>34875</v>
      </c>
      <c r="B19" s="211" t="s">
        <v>234</v>
      </c>
    </row>
    <row r="20" spans="1:2" x14ac:dyDescent="0.55000000000000004">
      <c r="A20" s="235">
        <v>7000</v>
      </c>
      <c r="B20" s="211" t="s">
        <v>235</v>
      </c>
    </row>
    <row r="21" spans="1:2" x14ac:dyDescent="0.55000000000000004">
      <c r="A21" s="234">
        <f>SUM(A18:A20)</f>
        <v>83750</v>
      </c>
    </row>
  </sheetData>
  <mergeCells count="1">
    <mergeCell ref="L2:Y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9"/>
  <sheetViews>
    <sheetView workbookViewId="0">
      <selection activeCell="Y26" sqref="Y26"/>
    </sheetView>
  </sheetViews>
  <sheetFormatPr defaultRowHeight="14.4" x14ac:dyDescent="0.55000000000000004"/>
  <cols>
    <col min="1" max="1" width="17.26171875" customWidth="1"/>
    <col min="2" max="2" width="6" customWidth="1"/>
    <col min="3" max="3" width="15.41796875" customWidth="1"/>
    <col min="4" max="4" width="8.15625" customWidth="1"/>
    <col min="5" max="5" width="8" customWidth="1"/>
    <col min="6" max="6" width="1" customWidth="1"/>
    <col min="7" max="7" width="7.15625" customWidth="1"/>
    <col min="8" max="8" width="7.15625" style="211" customWidth="1"/>
    <col min="9" max="9" width="0.83984375" customWidth="1"/>
    <col min="10" max="10" width="7" hidden="1" customWidth="1"/>
    <col min="11" max="11" width="7.578125" hidden="1" customWidth="1"/>
    <col min="12" max="12" width="7.15625" hidden="1" customWidth="1"/>
    <col min="13" max="13" width="7.578125" hidden="1" customWidth="1"/>
    <col min="14" max="14" width="7.68359375" hidden="1" customWidth="1"/>
    <col min="15" max="15" width="6.68359375" customWidth="1"/>
    <col min="16" max="16" width="7.26171875" customWidth="1"/>
    <col min="17" max="17" width="6.578125" customWidth="1"/>
    <col min="18" max="18" width="7.41796875" customWidth="1"/>
    <col min="19" max="19" width="7.578125" customWidth="1"/>
    <col min="20" max="20" width="7.26171875" customWidth="1"/>
    <col min="21" max="21" width="7.83984375" customWidth="1"/>
    <col min="22" max="22" width="5.83984375" customWidth="1"/>
    <col min="24" max="24" width="10.83984375" customWidth="1"/>
  </cols>
  <sheetData>
    <row r="1" spans="1:25" ht="12" customHeight="1" x14ac:dyDescent="0.55000000000000004">
      <c r="A1" s="9" t="s">
        <v>0</v>
      </c>
      <c r="B1" s="9"/>
      <c r="C1" s="9"/>
    </row>
    <row r="2" spans="1:25" s="10" customFormat="1" x14ac:dyDescent="0.55000000000000004">
      <c r="A2" s="9"/>
      <c r="B2" s="9"/>
      <c r="C2" s="9"/>
      <c r="D2" s="2"/>
      <c r="E2" s="2"/>
      <c r="F2" s="2"/>
      <c r="G2" s="2"/>
      <c r="H2" s="2"/>
      <c r="I2" s="2"/>
      <c r="J2" s="153"/>
      <c r="K2" s="276">
        <v>2017</v>
      </c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9"/>
      <c r="X2" s="9" t="s">
        <v>154</v>
      </c>
    </row>
    <row r="3" spans="1:25" s="10" customFormat="1" x14ac:dyDescent="0.55000000000000004">
      <c r="A3" s="11"/>
      <c r="B3" s="11"/>
      <c r="C3" s="11"/>
      <c r="D3" s="4" t="s">
        <v>2</v>
      </c>
      <c r="E3" s="4" t="s">
        <v>3</v>
      </c>
      <c r="F3" s="62"/>
      <c r="G3" s="4" t="s">
        <v>70</v>
      </c>
      <c r="H3" s="4" t="s">
        <v>144</v>
      </c>
      <c r="I3" s="62"/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142</v>
      </c>
      <c r="P3" s="9" t="s">
        <v>5</v>
      </c>
      <c r="Q3" s="9" t="s">
        <v>6</v>
      </c>
      <c r="R3" s="9" t="s">
        <v>7</v>
      </c>
      <c r="S3" s="9" t="s">
        <v>8</v>
      </c>
      <c r="T3" s="9" t="s">
        <v>9</v>
      </c>
      <c r="U3" s="9" t="s">
        <v>10</v>
      </c>
      <c r="V3" s="9" t="s">
        <v>11</v>
      </c>
      <c r="W3" s="9" t="s">
        <v>68</v>
      </c>
      <c r="X3" s="9" t="s">
        <v>150</v>
      </c>
    </row>
    <row r="4" spans="1:25" x14ac:dyDescent="0.55000000000000004">
      <c r="A4" s="1" t="s">
        <v>47</v>
      </c>
      <c r="B4" s="1"/>
      <c r="C4" s="1"/>
      <c r="D4" s="10">
        <f>Summary!F13</f>
        <v>27431</v>
      </c>
      <c r="E4" s="10">
        <f>Summary!G13</f>
        <v>20000</v>
      </c>
      <c r="F4" s="116"/>
      <c r="G4" s="10"/>
      <c r="H4" s="215"/>
      <c r="I4" s="116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5" x14ac:dyDescent="0.55000000000000004">
      <c r="A5" t="s">
        <v>40</v>
      </c>
      <c r="B5" t="s">
        <v>100</v>
      </c>
      <c r="C5" t="s">
        <v>115</v>
      </c>
      <c r="D5" s="10">
        <v>3000</v>
      </c>
      <c r="E5" s="10"/>
      <c r="F5" s="116"/>
      <c r="G5" s="10">
        <v>3000</v>
      </c>
      <c r="H5" s="215"/>
      <c r="I5" s="116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>
        <f>J5+K5+L5+M5+N5+O5+P5+Q5+R5+S5+T5+U5+V5</f>
        <v>0</v>
      </c>
      <c r="X5" s="10">
        <f>D5-G5</f>
        <v>0</v>
      </c>
    </row>
    <row r="6" spans="1:25" x14ac:dyDescent="0.55000000000000004">
      <c r="A6" t="s">
        <v>41</v>
      </c>
      <c r="B6" t="s">
        <v>97</v>
      </c>
      <c r="C6" t="s">
        <v>116</v>
      </c>
      <c r="D6" s="10">
        <f>29800+2000</f>
        <v>31800</v>
      </c>
      <c r="E6" s="10"/>
      <c r="F6" s="116"/>
      <c r="G6" s="10">
        <v>31800</v>
      </c>
      <c r="H6" s="215"/>
      <c r="I6" s="116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>
        <f t="shared" ref="W6:W12" si="0">J6+K6+L6+M6+N6+O6+P6+Q6+R6+S6+T6+U6+V6</f>
        <v>0</v>
      </c>
      <c r="X6" s="10">
        <f t="shared" ref="X6:X11" si="1">D6-G6</f>
        <v>0</v>
      </c>
    </row>
    <row r="7" spans="1:25" x14ac:dyDescent="0.55000000000000004">
      <c r="A7" t="s">
        <v>37</v>
      </c>
      <c r="B7" t="s">
        <v>101</v>
      </c>
      <c r="C7" t="s">
        <v>117</v>
      </c>
      <c r="D7" s="10">
        <f>4200-2000+20+2300+488-157</f>
        <v>4851</v>
      </c>
      <c r="E7" s="10"/>
      <c r="F7" s="116"/>
      <c r="G7" s="10">
        <v>4851</v>
      </c>
      <c r="H7" s="215"/>
      <c r="I7" s="116"/>
      <c r="J7" s="10"/>
      <c r="K7" s="10"/>
      <c r="L7" s="10"/>
      <c r="M7" s="10"/>
      <c r="N7" s="10"/>
      <c r="O7" s="10"/>
      <c r="P7" s="10"/>
      <c r="Q7" s="10">
        <f>2200-421-665-1114</f>
        <v>0</v>
      </c>
      <c r="R7" s="10">
        <f>1114-1114</f>
        <v>0</v>
      </c>
      <c r="S7" s="10">
        <f>1114+2300+20-3065-369</f>
        <v>0</v>
      </c>
      <c r="T7" s="10">
        <f>369-369</f>
        <v>0</v>
      </c>
      <c r="U7" s="10">
        <f>700-700</f>
        <v>0</v>
      </c>
      <c r="V7" s="10"/>
      <c r="W7" s="10">
        <f t="shared" si="0"/>
        <v>0</v>
      </c>
      <c r="X7" s="10">
        <f t="shared" si="1"/>
        <v>0</v>
      </c>
      <c r="Y7" s="264"/>
    </row>
    <row r="8" spans="1:25" x14ac:dyDescent="0.55000000000000004">
      <c r="A8" t="s">
        <v>33</v>
      </c>
      <c r="B8" t="s">
        <v>105</v>
      </c>
      <c r="C8" t="s">
        <v>118</v>
      </c>
      <c r="D8" s="10">
        <f>5000-2512-20</f>
        <v>2468</v>
      </c>
      <c r="E8" s="10"/>
      <c r="F8" s="116"/>
      <c r="G8" s="10">
        <f>3868-1400</f>
        <v>2468</v>
      </c>
      <c r="H8" s="215"/>
      <c r="I8" s="116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>
        <f t="shared" si="0"/>
        <v>0</v>
      </c>
      <c r="X8" s="10">
        <f t="shared" si="1"/>
        <v>0</v>
      </c>
    </row>
    <row r="9" spans="1:25" x14ac:dyDescent="0.55000000000000004">
      <c r="A9" t="s">
        <v>256</v>
      </c>
      <c r="B9" t="s">
        <v>105</v>
      </c>
      <c r="C9" t="s">
        <v>118</v>
      </c>
      <c r="D9" s="10">
        <f>2588+2512-2300</f>
        <v>2800</v>
      </c>
      <c r="E9" s="10"/>
      <c r="F9" s="116"/>
      <c r="G9" s="10">
        <f>1400+1400</f>
        <v>2800</v>
      </c>
      <c r="H9" s="215"/>
      <c r="I9" s="116"/>
      <c r="J9" s="10"/>
      <c r="K9" s="10"/>
      <c r="L9" s="10"/>
      <c r="M9" s="10"/>
      <c r="N9" s="10"/>
      <c r="O9" s="10"/>
      <c r="P9" s="10"/>
      <c r="Q9" s="10"/>
      <c r="R9" s="10"/>
      <c r="S9" s="215"/>
      <c r="T9" s="10"/>
      <c r="U9" s="10"/>
      <c r="V9" s="10"/>
      <c r="W9" s="10">
        <f t="shared" si="0"/>
        <v>0</v>
      </c>
      <c r="X9" s="10">
        <f t="shared" si="1"/>
        <v>0</v>
      </c>
    </row>
    <row r="10" spans="1:25" x14ac:dyDescent="0.55000000000000004">
      <c r="A10" t="s">
        <v>209</v>
      </c>
      <c r="C10" t="s">
        <v>296</v>
      </c>
      <c r="D10" s="10">
        <v>9</v>
      </c>
      <c r="E10" s="10"/>
      <c r="F10" s="116"/>
      <c r="G10" s="10">
        <v>9</v>
      </c>
      <c r="H10" s="215"/>
      <c r="I10" s="116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>
        <f>J10+K10+L10+M10+N10+O10+P10+Q10+R10+S10+T10+U10+V10</f>
        <v>0</v>
      </c>
      <c r="X10" s="10">
        <f t="shared" si="1"/>
        <v>0</v>
      </c>
    </row>
    <row r="11" spans="1:25" x14ac:dyDescent="0.55000000000000004">
      <c r="A11" t="s">
        <v>44</v>
      </c>
      <c r="B11" t="s">
        <v>99</v>
      </c>
      <c r="C11" t="s">
        <v>119</v>
      </c>
      <c r="D11" s="10">
        <f>3000-9-488</f>
        <v>2503</v>
      </c>
      <c r="E11" s="10"/>
      <c r="F11" s="116"/>
      <c r="G11" s="10">
        <v>2503</v>
      </c>
      <c r="H11" s="215"/>
      <c r="I11" s="116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>
        <f t="shared" si="0"/>
        <v>0</v>
      </c>
      <c r="X11" s="10">
        <f t="shared" si="1"/>
        <v>0</v>
      </c>
    </row>
    <row r="12" spans="1:25" ht="14.7" thickBot="1" x14ac:dyDescent="0.6">
      <c r="A12" s="159" t="s">
        <v>156</v>
      </c>
      <c r="B12" s="1"/>
      <c r="C12" s="1"/>
      <c r="D12" s="113">
        <f>SUM(D5:D11)</f>
        <v>47431</v>
      </c>
      <c r="E12" s="113"/>
      <c r="F12" s="163"/>
      <c r="G12" s="113">
        <f>SUM(G5:G11)</f>
        <v>47431</v>
      </c>
      <c r="H12" s="212">
        <f>SUM(H5:H11)</f>
        <v>0</v>
      </c>
      <c r="I12" s="163"/>
      <c r="J12" s="113">
        <f t="shared" ref="J12:T12" si="2">SUM(J5:J11)</f>
        <v>0</v>
      </c>
      <c r="K12" s="113">
        <f t="shared" si="2"/>
        <v>0</v>
      </c>
      <c r="L12" s="113">
        <f t="shared" si="2"/>
        <v>0</v>
      </c>
      <c r="M12" s="113">
        <f t="shared" si="2"/>
        <v>0</v>
      </c>
      <c r="N12" s="113">
        <f t="shared" si="2"/>
        <v>0</v>
      </c>
      <c r="O12" s="113">
        <f t="shared" si="2"/>
        <v>0</v>
      </c>
      <c r="P12" s="113">
        <f t="shared" si="2"/>
        <v>0</v>
      </c>
      <c r="Q12" s="113">
        <f t="shared" si="2"/>
        <v>0</v>
      </c>
      <c r="R12" s="113">
        <f t="shared" si="2"/>
        <v>0</v>
      </c>
      <c r="S12" s="113">
        <f t="shared" si="2"/>
        <v>0</v>
      </c>
      <c r="T12" s="113">
        <f t="shared" si="2"/>
        <v>0</v>
      </c>
      <c r="U12" s="113">
        <f>SUM(U4:U11)</f>
        <v>0</v>
      </c>
      <c r="V12" s="212">
        <f>SUM(V4:V11)</f>
        <v>0</v>
      </c>
      <c r="W12" s="113">
        <f t="shared" si="0"/>
        <v>0</v>
      </c>
      <c r="X12" s="113">
        <f>SUM(X5:X11)</f>
        <v>0</v>
      </c>
    </row>
    <row r="13" spans="1:25" ht="14.7" thickTop="1" x14ac:dyDescent="0.55000000000000004">
      <c r="D13" s="9"/>
      <c r="E13" s="162"/>
      <c r="F13" s="162"/>
      <c r="G13" s="162"/>
      <c r="H13" s="162"/>
      <c r="I13" s="162"/>
      <c r="J13" s="126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5" x14ac:dyDescent="0.55000000000000004">
      <c r="A14" t="s">
        <v>51</v>
      </c>
      <c r="D14" s="10"/>
      <c r="E14" s="126"/>
      <c r="F14" s="126"/>
      <c r="G14" s="126"/>
      <c r="H14" s="126"/>
      <c r="I14" s="126"/>
      <c r="J14" s="10"/>
      <c r="K14" s="10"/>
      <c r="L14" s="10"/>
      <c r="M14" s="10"/>
      <c r="N14" s="10"/>
      <c r="O14" s="240"/>
      <c r="P14" s="10"/>
      <c r="R14" s="10" t="s">
        <v>288</v>
      </c>
      <c r="S14" s="10"/>
      <c r="T14" s="10"/>
      <c r="U14" s="10"/>
      <c r="V14" s="10"/>
      <c r="W14" s="10"/>
    </row>
    <row r="15" spans="1:25" x14ac:dyDescent="0.55000000000000004">
      <c r="D15" s="10"/>
      <c r="E15" s="10"/>
      <c r="F15" s="10"/>
      <c r="G15" s="10"/>
      <c r="H15" s="215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 t="s">
        <v>297</v>
      </c>
      <c r="T15" s="10"/>
      <c r="U15" s="10"/>
      <c r="V15" s="10"/>
      <c r="W15" s="10"/>
    </row>
    <row r="16" spans="1:25" x14ac:dyDescent="0.55000000000000004">
      <c r="D16" s="10"/>
      <c r="E16" s="10"/>
      <c r="F16" s="10"/>
      <c r="G16" s="10"/>
      <c r="H16" s="215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 t="s">
        <v>298</v>
      </c>
      <c r="T16" s="10"/>
      <c r="U16" s="10"/>
      <c r="V16" s="10"/>
      <c r="W16" s="10"/>
    </row>
    <row r="18" spans="17:19" x14ac:dyDescent="0.55000000000000004">
      <c r="Q18" s="211"/>
      <c r="R18" s="211"/>
      <c r="S18" s="211"/>
    </row>
    <row r="19" spans="17:19" x14ac:dyDescent="0.55000000000000004">
      <c r="Q19" s="231"/>
    </row>
  </sheetData>
  <mergeCells count="1">
    <mergeCell ref="K2:V2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zoomScale="90" zoomScaleNormal="90" workbookViewId="0">
      <selection activeCell="H17" sqref="H17"/>
    </sheetView>
  </sheetViews>
  <sheetFormatPr defaultRowHeight="14.4" x14ac:dyDescent="0.55000000000000004"/>
  <cols>
    <col min="1" max="1" width="35.83984375" bestFit="1" customWidth="1"/>
    <col min="2" max="2" width="6.26171875" customWidth="1"/>
    <col min="3" max="3" width="16" customWidth="1"/>
    <col min="4" max="4" width="8.578125" bestFit="1" customWidth="1"/>
    <col min="5" max="5" width="8.15625" bestFit="1" customWidth="1"/>
    <col min="6" max="6" width="1.83984375" customWidth="1"/>
    <col min="7" max="7" width="8.41796875" bestFit="1" customWidth="1"/>
    <col min="8" max="8" width="9.578125" style="211" bestFit="1" customWidth="1"/>
    <col min="9" max="9" width="1.83984375" customWidth="1"/>
    <col min="10" max="17" width="8.26171875" hidden="1" customWidth="1"/>
    <col min="18" max="23" width="8.26171875" customWidth="1"/>
    <col min="24" max="24" width="10.41796875" bestFit="1" customWidth="1"/>
    <col min="25" max="25" width="100.578125" customWidth="1"/>
    <col min="26" max="26" width="11.68359375" bestFit="1" customWidth="1"/>
  </cols>
  <sheetData>
    <row r="1" spans="1:26" s="211" customFormat="1" x14ac:dyDescent="0.55000000000000004"/>
    <row r="2" spans="1:26" ht="12" customHeight="1" x14ac:dyDescent="0.55000000000000004">
      <c r="A2" s="9" t="s">
        <v>0</v>
      </c>
      <c r="B2" s="9"/>
      <c r="C2" s="9"/>
    </row>
    <row r="3" spans="1:26" s="10" customFormat="1" ht="28.8" x14ac:dyDescent="0.55000000000000004">
      <c r="A3" s="9"/>
      <c r="B3" s="9"/>
      <c r="C3" s="9"/>
      <c r="D3" s="2"/>
      <c r="E3" s="2"/>
      <c r="F3" s="2"/>
      <c r="G3" s="2"/>
      <c r="H3" s="2"/>
      <c r="I3" s="2"/>
      <c r="J3" s="153">
        <v>2016</v>
      </c>
      <c r="K3" s="276">
        <v>2017</v>
      </c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9"/>
      <c r="X3" s="9" t="s">
        <v>154</v>
      </c>
      <c r="Z3" s="263" t="s">
        <v>304</v>
      </c>
    </row>
    <row r="4" spans="1:26" s="10" customFormat="1" x14ac:dyDescent="0.55000000000000004">
      <c r="A4" s="11"/>
      <c r="B4" s="11"/>
      <c r="C4" s="11"/>
      <c r="D4" s="4" t="s">
        <v>2</v>
      </c>
      <c r="E4" s="4" t="s">
        <v>3</v>
      </c>
      <c r="F4" s="62"/>
      <c r="G4" s="4" t="s">
        <v>70</v>
      </c>
      <c r="H4" s="4" t="s">
        <v>291</v>
      </c>
      <c r="I4" s="62"/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142</v>
      </c>
      <c r="P4" s="9" t="s">
        <v>5</v>
      </c>
      <c r="Q4" s="9" t="s">
        <v>6</v>
      </c>
      <c r="R4" s="9" t="s">
        <v>7</v>
      </c>
      <c r="S4" s="9" t="s">
        <v>8</v>
      </c>
      <c r="T4" s="9" t="s">
        <v>9</v>
      </c>
      <c r="U4" s="9" t="s">
        <v>10</v>
      </c>
      <c r="V4" s="223" t="s">
        <v>11</v>
      </c>
      <c r="W4" s="9" t="s">
        <v>68</v>
      </c>
      <c r="X4" s="9" t="s">
        <v>150</v>
      </c>
      <c r="Z4" s="217" t="s">
        <v>305</v>
      </c>
    </row>
    <row r="5" spans="1:26" s="10" customFormat="1" x14ac:dyDescent="0.55000000000000004">
      <c r="A5" s="1" t="s">
        <v>48</v>
      </c>
      <c r="B5" s="11"/>
      <c r="C5" s="11"/>
      <c r="D5" s="4">
        <f>Summary!F14</f>
        <v>68074</v>
      </c>
      <c r="E5" s="4">
        <f>Summary!G14</f>
        <v>0</v>
      </c>
      <c r="F5" s="62"/>
      <c r="G5" s="4"/>
      <c r="H5" s="4"/>
      <c r="I5" s="6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224"/>
    </row>
    <row r="6" spans="1:26" x14ac:dyDescent="0.55000000000000004">
      <c r="A6" s="211" t="s">
        <v>223</v>
      </c>
      <c r="B6" s="211" t="s">
        <v>97</v>
      </c>
      <c r="C6" s="211" t="s">
        <v>129</v>
      </c>
      <c r="D6" s="226">
        <f>36500+14000-500</f>
        <v>50000</v>
      </c>
      <c r="E6" s="226"/>
      <c r="F6" s="227"/>
      <c r="G6" s="226">
        <f>51+57225</f>
        <v>57276</v>
      </c>
      <c r="H6" s="226"/>
      <c r="I6" s="227"/>
      <c r="J6" s="226"/>
      <c r="K6" s="226"/>
      <c r="L6" s="226"/>
      <c r="M6" s="226"/>
      <c r="N6" s="226"/>
      <c r="O6" s="226"/>
      <c r="P6" s="226"/>
      <c r="Q6" s="226"/>
      <c r="R6" s="226">
        <f>45450-45450</f>
        <v>0</v>
      </c>
      <c r="S6" s="226">
        <f>45450-45450</f>
        <v>0</v>
      </c>
      <c r="T6" s="226"/>
      <c r="U6" s="226"/>
      <c r="V6" s="228"/>
      <c r="W6" s="226">
        <f>SUM(N6:V6)</f>
        <v>0</v>
      </c>
      <c r="X6" s="226">
        <f>D6-G6</f>
        <v>-7276</v>
      </c>
      <c r="Y6" s="211"/>
      <c r="Z6" s="215">
        <f>X6-W6</f>
        <v>-7276</v>
      </c>
    </row>
    <row r="7" spans="1:26" x14ac:dyDescent="0.55000000000000004">
      <c r="A7" s="211" t="s">
        <v>292</v>
      </c>
      <c r="B7" s="211" t="s">
        <v>105</v>
      </c>
      <c r="C7" s="211" t="s">
        <v>224</v>
      </c>
      <c r="D7" s="226">
        <f>12000+500</f>
        <v>12500</v>
      </c>
      <c r="E7" s="226"/>
      <c r="F7" s="227"/>
      <c r="G7" s="226">
        <f>2151+136+7013+60+7013</f>
        <v>16373</v>
      </c>
      <c r="H7" s="249"/>
      <c r="I7" s="227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>
        <f>4171-4013-136-22</f>
        <v>0</v>
      </c>
      <c r="U7" s="226"/>
      <c r="V7" s="228"/>
      <c r="W7" s="226">
        <f t="shared" ref="W7:W9" si="0">SUM(N7:V7)</f>
        <v>0</v>
      </c>
      <c r="X7" s="226">
        <f t="shared" ref="X7:X9" si="1">D7-G7</f>
        <v>-3873</v>
      </c>
      <c r="Y7" s="252"/>
      <c r="Z7" s="215">
        <f t="shared" ref="Z7:Z10" si="2">X7-W7</f>
        <v>-3873</v>
      </c>
    </row>
    <row r="8" spans="1:26" x14ac:dyDescent="0.55000000000000004">
      <c r="A8" s="211" t="s">
        <v>222</v>
      </c>
      <c r="B8" s="211" t="s">
        <v>99</v>
      </c>
      <c r="C8" s="211" t="s">
        <v>130</v>
      </c>
      <c r="D8" s="226">
        <f>1500+1500+2574</f>
        <v>5574</v>
      </c>
      <c r="E8" s="226"/>
      <c r="F8" s="227"/>
      <c r="G8" s="226">
        <f>2497+2545+330</f>
        <v>5372</v>
      </c>
      <c r="H8" s="249"/>
      <c r="I8" s="227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8"/>
      <c r="W8" s="226">
        <f t="shared" si="0"/>
        <v>0</v>
      </c>
      <c r="X8" s="226">
        <f t="shared" si="1"/>
        <v>202</v>
      </c>
      <c r="Y8" s="252"/>
      <c r="Z8" s="215">
        <f t="shared" si="2"/>
        <v>202</v>
      </c>
    </row>
    <row r="9" spans="1:26" s="211" customFormat="1" x14ac:dyDescent="0.55000000000000004">
      <c r="A9" s="211" t="s">
        <v>315</v>
      </c>
      <c r="C9" s="211" t="s">
        <v>314</v>
      </c>
      <c r="D9" s="226"/>
      <c r="E9" s="226"/>
      <c r="F9" s="227"/>
      <c r="G9" s="226">
        <v>6150</v>
      </c>
      <c r="H9" s="226"/>
      <c r="I9" s="227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8"/>
      <c r="W9" s="226">
        <f t="shared" si="0"/>
        <v>0</v>
      </c>
      <c r="X9" s="226">
        <f t="shared" si="1"/>
        <v>-6150</v>
      </c>
      <c r="Y9" s="252"/>
      <c r="Z9" s="215">
        <f t="shared" si="2"/>
        <v>-6150</v>
      </c>
    </row>
    <row r="10" spans="1:26" x14ac:dyDescent="0.55000000000000004">
      <c r="A10" t="s">
        <v>302</v>
      </c>
      <c r="C10" t="s">
        <v>320</v>
      </c>
      <c r="D10" s="226"/>
      <c r="E10" s="226"/>
      <c r="F10" s="227"/>
      <c r="G10" s="226">
        <v>1431</v>
      </c>
      <c r="H10" s="226"/>
      <c r="I10" s="227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>
        <f>7730-6150-600-900-80</f>
        <v>0</v>
      </c>
      <c r="V10" s="228"/>
      <c r="W10" s="226">
        <f t="shared" ref="W10" si="3">SUM(N10:V10)</f>
        <v>0</v>
      </c>
      <c r="X10" s="226">
        <f t="shared" ref="X10" si="4">D10-G10</f>
        <v>-1431</v>
      </c>
      <c r="Y10" s="13"/>
      <c r="Z10" s="215">
        <f t="shared" si="2"/>
        <v>-1431</v>
      </c>
    </row>
    <row r="11" spans="1:26" x14ac:dyDescent="0.55000000000000004">
      <c r="D11" s="226"/>
      <c r="E11" s="226"/>
      <c r="F11" s="227"/>
      <c r="G11" s="226"/>
      <c r="H11" s="226"/>
      <c r="I11" s="227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8"/>
      <c r="W11" s="226"/>
      <c r="X11" s="226"/>
      <c r="Z11" s="261"/>
    </row>
    <row r="12" spans="1:26" ht="14.7" thickBot="1" x14ac:dyDescent="0.6">
      <c r="A12" s="1" t="s">
        <v>156</v>
      </c>
      <c r="B12" s="1"/>
      <c r="C12" s="1"/>
      <c r="D12" s="113">
        <f>SUM(D6:D11)</f>
        <v>68074</v>
      </c>
      <c r="E12" s="164"/>
      <c r="F12" s="165"/>
      <c r="G12" s="251">
        <f>SUM(G6:G11)</f>
        <v>86602</v>
      </c>
      <c r="H12" s="251">
        <f>SUM(H6:H11)</f>
        <v>0</v>
      </c>
      <c r="I12" s="165"/>
      <c r="J12" s="113">
        <f t="shared" ref="J12:V12" si="5">SUM(J6:J11)</f>
        <v>0</v>
      </c>
      <c r="K12" s="113">
        <f t="shared" si="5"/>
        <v>0</v>
      </c>
      <c r="L12" s="113">
        <f t="shared" si="5"/>
        <v>0</v>
      </c>
      <c r="M12" s="113">
        <f t="shared" si="5"/>
        <v>0</v>
      </c>
      <c r="N12" s="113">
        <f t="shared" si="5"/>
        <v>0</v>
      </c>
      <c r="O12" s="113">
        <f t="shared" si="5"/>
        <v>0</v>
      </c>
      <c r="P12" s="113">
        <f t="shared" si="5"/>
        <v>0</v>
      </c>
      <c r="Q12" s="113">
        <f t="shared" si="5"/>
        <v>0</v>
      </c>
      <c r="R12" s="113">
        <f t="shared" si="5"/>
        <v>0</v>
      </c>
      <c r="S12" s="113">
        <f t="shared" si="5"/>
        <v>0</v>
      </c>
      <c r="T12" s="113">
        <f t="shared" si="5"/>
        <v>0</v>
      </c>
      <c r="U12" s="113">
        <f t="shared" si="5"/>
        <v>0</v>
      </c>
      <c r="V12" s="225">
        <f t="shared" si="5"/>
        <v>0</v>
      </c>
      <c r="W12" s="113">
        <f t="shared" ref="W12" si="6">J12+K12+L12+M12+N12+O12+P12+Q12+R12+S12+T12+U12+V12</f>
        <v>0</v>
      </c>
      <c r="X12" s="113">
        <f>SUM(X6:X11)</f>
        <v>-18528</v>
      </c>
      <c r="Y12" s="262" t="s">
        <v>303</v>
      </c>
      <c r="Z12" s="217">
        <f>SUM(Z6:Z11)</f>
        <v>-18528</v>
      </c>
    </row>
    <row r="13" spans="1:26" ht="14.7" thickTop="1" x14ac:dyDescent="0.55000000000000004">
      <c r="D13" s="9"/>
    </row>
    <row r="15" spans="1:26" x14ac:dyDescent="0.55000000000000004">
      <c r="H15" s="245"/>
      <c r="O15" s="260" t="s">
        <v>300</v>
      </c>
      <c r="P15" s="260"/>
      <c r="Q15" s="211"/>
      <c r="R15" s="211"/>
      <c r="S15" s="211"/>
      <c r="T15" s="211"/>
      <c r="U15" s="211"/>
      <c r="Y15" s="214" t="s">
        <v>294</v>
      </c>
    </row>
    <row r="16" spans="1:26" x14ac:dyDescent="0.55000000000000004">
      <c r="Y16" t="s">
        <v>301</v>
      </c>
      <c r="Z16" s="269">
        <v>330</v>
      </c>
    </row>
    <row r="17" spans="4:28" x14ac:dyDescent="0.55000000000000004">
      <c r="Z17" s="253">
        <f>SUM(Z16:Z16)</f>
        <v>330</v>
      </c>
      <c r="AB17" s="211"/>
    </row>
    <row r="18" spans="4:28" x14ac:dyDescent="0.55000000000000004">
      <c r="AA18" s="211"/>
      <c r="AB18" s="211"/>
    </row>
    <row r="19" spans="4:28" x14ac:dyDescent="0.55000000000000004">
      <c r="AA19" s="211"/>
      <c r="AB19" s="211"/>
    </row>
    <row r="20" spans="4:28" x14ac:dyDescent="0.55000000000000004">
      <c r="Y20" t="s">
        <v>318</v>
      </c>
      <c r="Z20" s="268">
        <v>7225</v>
      </c>
      <c r="AA20" s="211"/>
      <c r="AB20" s="211"/>
    </row>
    <row r="21" spans="4:28" x14ac:dyDescent="0.55000000000000004">
      <c r="Z21" s="267">
        <f>SUM(Z19:Z20)</f>
        <v>7225</v>
      </c>
      <c r="AA21" s="211"/>
      <c r="AB21" s="211"/>
    </row>
    <row r="22" spans="4:28" x14ac:dyDescent="0.55000000000000004">
      <c r="AB22" s="211"/>
    </row>
    <row r="23" spans="4:28" x14ac:dyDescent="0.55000000000000004">
      <c r="AB23" s="211"/>
    </row>
    <row r="24" spans="4:28" x14ac:dyDescent="0.55000000000000004">
      <c r="D24" s="211"/>
    </row>
  </sheetData>
  <mergeCells count="1">
    <mergeCell ref="K3:V3"/>
  </mergeCells>
  <pageMargins left="0.31496062992125984" right="0.31496062992125984" top="0.74803149606299213" bottom="0.74803149606299213" header="0.31496062992125984" footer="0.31496062992125984"/>
  <pageSetup paperSize="9" scale="43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workbookViewId="0">
      <selection activeCell="A16" sqref="A16"/>
    </sheetView>
  </sheetViews>
  <sheetFormatPr defaultRowHeight="14.4" x14ac:dyDescent="0.55000000000000004"/>
  <cols>
    <col min="1" max="1" width="19.26171875" customWidth="1"/>
    <col min="2" max="2" width="6.68359375" customWidth="1"/>
    <col min="3" max="3" width="15.41796875" customWidth="1"/>
    <col min="4" max="4" width="8.15625" customWidth="1"/>
    <col min="5" max="5" width="7.83984375" customWidth="1"/>
    <col min="6" max="6" width="1.578125" customWidth="1"/>
    <col min="7" max="7" width="7.26171875" customWidth="1"/>
    <col min="8" max="8" width="1.41796875" customWidth="1"/>
    <col min="9" max="9" width="6.83984375" hidden="1" customWidth="1"/>
    <col min="10" max="10" width="7" hidden="1" customWidth="1"/>
    <col min="11" max="11" width="7.41796875" hidden="1" customWidth="1"/>
    <col min="12" max="12" width="7.15625" customWidth="1"/>
    <col min="13" max="13" width="7.578125" customWidth="1"/>
    <col min="14" max="14" width="6.83984375" customWidth="1"/>
    <col min="15" max="15" width="6.68359375" customWidth="1"/>
    <col min="16" max="16" width="6.83984375" customWidth="1"/>
    <col min="17" max="17" width="6.68359375" customWidth="1"/>
    <col min="18" max="18" width="6.83984375" customWidth="1"/>
    <col min="19" max="19" width="7.15625" customWidth="1"/>
    <col min="20" max="20" width="6.68359375" customWidth="1"/>
    <col min="21" max="21" width="6.41796875" customWidth="1"/>
    <col min="22" max="22" width="7.83984375" customWidth="1"/>
    <col min="23" max="23" width="11.26171875" customWidth="1"/>
  </cols>
  <sheetData>
    <row r="1" spans="1:23" ht="12" customHeight="1" x14ac:dyDescent="0.55000000000000004">
      <c r="A1" s="9" t="s">
        <v>0</v>
      </c>
      <c r="B1" s="9"/>
      <c r="C1" s="9"/>
    </row>
    <row r="2" spans="1:23" s="10" customFormat="1" x14ac:dyDescent="0.55000000000000004">
      <c r="A2" s="9"/>
      <c r="B2" s="9"/>
      <c r="C2" s="9"/>
      <c r="D2" s="2"/>
      <c r="E2" s="2"/>
      <c r="F2" s="2"/>
      <c r="G2" s="2"/>
      <c r="H2" s="2"/>
      <c r="I2" s="153">
        <v>2016</v>
      </c>
      <c r="J2" s="276">
        <v>2017</v>
      </c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9"/>
      <c r="W2" s="9" t="s">
        <v>154</v>
      </c>
    </row>
    <row r="3" spans="1:23" s="10" customFormat="1" x14ac:dyDescent="0.55000000000000004">
      <c r="A3" s="11"/>
      <c r="B3" s="11"/>
      <c r="C3" s="11"/>
      <c r="D3" s="4" t="s">
        <v>2</v>
      </c>
      <c r="E3" s="4" t="s">
        <v>3</v>
      </c>
      <c r="F3" s="62"/>
      <c r="G3" s="4" t="s">
        <v>70</v>
      </c>
      <c r="H3" s="62"/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142</v>
      </c>
      <c r="O3" s="9" t="s">
        <v>5</v>
      </c>
      <c r="P3" s="9" t="s">
        <v>6</v>
      </c>
      <c r="Q3" s="9" t="s">
        <v>7</v>
      </c>
      <c r="R3" s="9" t="s">
        <v>8</v>
      </c>
      <c r="S3" s="9" t="s">
        <v>9</v>
      </c>
      <c r="T3" s="9" t="s">
        <v>10</v>
      </c>
      <c r="U3" s="9" t="s">
        <v>11</v>
      </c>
      <c r="V3" s="9" t="s">
        <v>68</v>
      </c>
      <c r="W3" s="9" t="s">
        <v>150</v>
      </c>
    </row>
    <row r="4" spans="1:23" x14ac:dyDescent="0.55000000000000004">
      <c r="A4" s="1" t="s">
        <v>50</v>
      </c>
      <c r="B4" s="1"/>
      <c r="C4" s="1"/>
      <c r="D4" s="9">
        <f>Summary!F16</f>
        <v>0</v>
      </c>
      <c r="E4" s="10"/>
      <c r="F4" s="116"/>
      <c r="G4" s="10"/>
      <c r="H4" s="116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3" x14ac:dyDescent="0.55000000000000004">
      <c r="A5" t="s">
        <v>41</v>
      </c>
      <c r="B5" t="s">
        <v>97</v>
      </c>
      <c r="C5" t="s">
        <v>137</v>
      </c>
      <c r="D5" s="10"/>
      <c r="E5" s="10"/>
      <c r="F5" s="116"/>
      <c r="G5" s="10"/>
      <c r="H5" s="116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>
        <f>I5+J5+K5+L5+M5+N5+O5+P5+Q5+R5+S5+T5+U5</f>
        <v>0</v>
      </c>
      <c r="W5" s="10">
        <f>D5-G5</f>
        <v>0</v>
      </c>
    </row>
    <row r="6" spans="1:23" x14ac:dyDescent="0.55000000000000004">
      <c r="A6" t="s">
        <v>40</v>
      </c>
      <c r="B6" t="s">
        <v>100</v>
      </c>
      <c r="C6" t="s">
        <v>136</v>
      </c>
      <c r="D6" s="10"/>
      <c r="E6" s="10"/>
      <c r="F6" s="116"/>
      <c r="G6" s="10"/>
      <c r="H6" s="116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>
        <f t="shared" ref="V6:V9" si="0">I6+J6+K6+L6+M6+N6+O6+P6+Q6+R6+S6+T6+U6</f>
        <v>0</v>
      </c>
      <c r="W6" s="10">
        <f t="shared" ref="W6:W9" si="1">D6-G6</f>
        <v>0</v>
      </c>
    </row>
    <row r="7" spans="1:23" x14ac:dyDescent="0.55000000000000004">
      <c r="A7" t="s">
        <v>37</v>
      </c>
      <c r="B7" t="s">
        <v>101</v>
      </c>
      <c r="C7" t="s">
        <v>138</v>
      </c>
      <c r="D7" s="10"/>
      <c r="E7" s="10"/>
      <c r="F7" s="116"/>
      <c r="G7" s="10"/>
      <c r="H7" s="116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>
        <f t="shared" si="0"/>
        <v>0</v>
      </c>
      <c r="W7" s="10">
        <f t="shared" si="1"/>
        <v>0</v>
      </c>
    </row>
    <row r="8" spans="1:23" x14ac:dyDescent="0.55000000000000004">
      <c r="A8" t="s">
        <v>33</v>
      </c>
      <c r="B8" t="s">
        <v>105</v>
      </c>
      <c r="C8" t="s">
        <v>139</v>
      </c>
      <c r="D8" s="10"/>
      <c r="E8" s="10"/>
      <c r="F8" s="116"/>
      <c r="G8" s="10"/>
      <c r="H8" s="116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>
        <f t="shared" si="0"/>
        <v>0</v>
      </c>
      <c r="W8" s="10">
        <f t="shared" si="1"/>
        <v>0</v>
      </c>
    </row>
    <row r="9" spans="1:23" x14ac:dyDescent="0.55000000000000004">
      <c r="A9" t="s">
        <v>42</v>
      </c>
      <c r="D9" s="10"/>
      <c r="E9" s="10"/>
      <c r="F9" s="116"/>
      <c r="G9" s="10"/>
      <c r="H9" s="116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>
        <f t="shared" si="0"/>
        <v>0</v>
      </c>
      <c r="W9" s="10">
        <f t="shared" si="1"/>
        <v>0</v>
      </c>
    </row>
    <row r="10" spans="1:23" ht="14.7" thickBot="1" x14ac:dyDescent="0.6">
      <c r="A10" s="1" t="s">
        <v>156</v>
      </c>
      <c r="B10" s="1"/>
      <c r="C10" s="1"/>
      <c r="D10" s="113">
        <f>D4</f>
        <v>0</v>
      </c>
      <c r="E10" s="160"/>
      <c r="F10" s="161"/>
      <c r="G10" s="113">
        <f>SUM(G5:G9)</f>
        <v>0</v>
      </c>
      <c r="H10" s="161"/>
      <c r="I10" s="113">
        <f>SUM(I5:I9)</f>
        <v>0</v>
      </c>
      <c r="J10" s="113">
        <f t="shared" ref="J10:T10" si="2">SUM(J5:J9)</f>
        <v>0</v>
      </c>
      <c r="K10" s="113">
        <f t="shared" si="2"/>
        <v>0</v>
      </c>
      <c r="L10" s="113">
        <f t="shared" si="2"/>
        <v>0</v>
      </c>
      <c r="M10" s="113">
        <f t="shared" si="2"/>
        <v>0</v>
      </c>
      <c r="N10" s="113">
        <f t="shared" si="2"/>
        <v>0</v>
      </c>
      <c r="O10" s="113">
        <f t="shared" si="2"/>
        <v>0</v>
      </c>
      <c r="P10" s="113">
        <f t="shared" si="2"/>
        <v>0</v>
      </c>
      <c r="Q10" s="113">
        <f t="shared" si="2"/>
        <v>0</v>
      </c>
      <c r="R10" s="113">
        <f t="shared" si="2"/>
        <v>0</v>
      </c>
      <c r="S10" s="113">
        <f t="shared" si="2"/>
        <v>0</v>
      </c>
      <c r="T10" s="113">
        <f t="shared" si="2"/>
        <v>0</v>
      </c>
      <c r="U10" s="113">
        <f t="shared" ref="U10" si="3">SUM(U6:U9)</f>
        <v>0</v>
      </c>
      <c r="V10" s="113">
        <f>SUM(V5:V9)</f>
        <v>0</v>
      </c>
      <c r="W10" s="113">
        <f>SUM(W5:W9)</f>
        <v>0</v>
      </c>
    </row>
    <row r="11" spans="1:23" ht="14.7" thickTop="1" x14ac:dyDescent="0.55000000000000004"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3" x14ac:dyDescent="0.55000000000000004">
      <c r="A12" t="s">
        <v>51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3" x14ac:dyDescent="0.55000000000000004">
      <c r="A13" t="s">
        <v>172</v>
      </c>
    </row>
    <row r="16" spans="1:23" x14ac:dyDescent="0.55000000000000004">
      <c r="A16" t="s">
        <v>226</v>
      </c>
    </row>
  </sheetData>
  <mergeCells count="1">
    <mergeCell ref="J2:U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0"/>
  <sheetViews>
    <sheetView workbookViewId="0">
      <selection activeCell="G12" sqref="G12:H12"/>
    </sheetView>
  </sheetViews>
  <sheetFormatPr defaultRowHeight="14.4" x14ac:dyDescent="0.55000000000000004"/>
  <cols>
    <col min="1" max="1" width="19.26171875" customWidth="1"/>
    <col min="2" max="2" width="6.15625" customWidth="1"/>
    <col min="3" max="3" width="15.578125" customWidth="1"/>
    <col min="6" max="6" width="1.41796875" customWidth="1"/>
    <col min="7" max="7" width="7.41796875" customWidth="1"/>
    <col min="8" max="8" width="7.41796875" style="211" customWidth="1"/>
    <col min="9" max="9" width="1.83984375" customWidth="1"/>
    <col min="10" max="10" width="6.578125" hidden="1" customWidth="1"/>
    <col min="11" max="11" width="7.83984375" hidden="1" customWidth="1"/>
    <col min="12" max="12" width="7.15625" hidden="1" customWidth="1"/>
    <col min="13" max="13" width="7" hidden="1" customWidth="1"/>
    <col min="14" max="14" width="0" hidden="1" customWidth="1"/>
    <col min="15" max="15" width="6.26171875" customWidth="1"/>
    <col min="16" max="16" width="7" customWidth="1"/>
    <col min="17" max="17" width="7.15625" customWidth="1"/>
    <col min="18" max="18" width="7.26171875" customWidth="1"/>
    <col min="19" max="19" width="6.83984375" customWidth="1"/>
    <col min="20" max="20" width="7.41796875" customWidth="1"/>
    <col min="21" max="21" width="8" customWidth="1"/>
    <col min="22" max="22" width="7" customWidth="1"/>
    <col min="23" max="23" width="7" style="211" customWidth="1"/>
    <col min="25" max="25" width="10.26171875" customWidth="1"/>
    <col min="27" max="27" width="5.26171875" bestFit="1" customWidth="1"/>
  </cols>
  <sheetData>
    <row r="1" spans="1:29" ht="12" customHeight="1" x14ac:dyDescent="0.55000000000000004">
      <c r="A1" s="9" t="s">
        <v>0</v>
      </c>
      <c r="B1" s="9"/>
      <c r="C1" s="9"/>
    </row>
    <row r="2" spans="1:29" s="10" customFormat="1" x14ac:dyDescent="0.55000000000000004">
      <c r="A2" s="9"/>
      <c r="B2" s="9"/>
      <c r="C2" s="9"/>
      <c r="D2" s="2"/>
      <c r="E2" s="2"/>
      <c r="F2" s="2"/>
      <c r="G2" s="2"/>
      <c r="H2" s="2"/>
      <c r="I2" s="2"/>
      <c r="J2" s="153">
        <v>2016</v>
      </c>
      <c r="K2" s="276">
        <v>2017</v>
      </c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0"/>
      <c r="X2" s="9"/>
      <c r="Y2" s="9" t="s">
        <v>154</v>
      </c>
    </row>
    <row r="3" spans="1:29" s="10" customFormat="1" x14ac:dyDescent="0.55000000000000004">
      <c r="A3" s="11"/>
      <c r="B3" s="11"/>
      <c r="C3" s="11"/>
      <c r="D3" s="4" t="s">
        <v>2</v>
      </c>
      <c r="E3" s="4" t="s">
        <v>3</v>
      </c>
      <c r="F3" s="62"/>
      <c r="G3" s="4" t="s">
        <v>70</v>
      </c>
      <c r="H3" s="4" t="s">
        <v>144</v>
      </c>
      <c r="I3" s="62"/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142</v>
      </c>
      <c r="P3" s="9" t="s">
        <v>5</v>
      </c>
      <c r="Q3" s="9" t="s">
        <v>6</v>
      </c>
      <c r="R3" s="9" t="s">
        <v>7</v>
      </c>
      <c r="S3" s="9" t="s">
        <v>8</v>
      </c>
      <c r="T3" s="9" t="s">
        <v>9</v>
      </c>
      <c r="U3" s="9" t="s">
        <v>10</v>
      </c>
      <c r="V3" s="9" t="s">
        <v>11</v>
      </c>
      <c r="W3" s="221" t="s">
        <v>214</v>
      </c>
      <c r="X3" s="9" t="s">
        <v>68</v>
      </c>
      <c r="Y3" s="9" t="s">
        <v>150</v>
      </c>
    </row>
    <row r="4" spans="1:29" x14ac:dyDescent="0.55000000000000004">
      <c r="A4" s="214" t="s">
        <v>220</v>
      </c>
      <c r="B4" s="214"/>
      <c r="C4" s="214"/>
      <c r="D4" s="217">
        <f>50000+157</f>
        <v>50157</v>
      </c>
      <c r="E4" s="217">
        <v>45000</v>
      </c>
      <c r="F4" s="216"/>
      <c r="G4" s="215"/>
      <c r="H4" s="215"/>
      <c r="I4" s="216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</row>
    <row r="5" spans="1:29" x14ac:dyDescent="0.55000000000000004">
      <c r="A5" s="211" t="s">
        <v>41</v>
      </c>
      <c r="B5" s="211" t="s">
        <v>97</v>
      </c>
      <c r="C5" s="211" t="s">
        <v>132</v>
      </c>
      <c r="D5" s="215"/>
      <c r="E5" s="215"/>
      <c r="F5" s="216"/>
      <c r="G5" s="215"/>
      <c r="H5" s="215"/>
      <c r="I5" s="216"/>
      <c r="J5" s="215"/>
      <c r="K5" s="215"/>
      <c r="L5" s="211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>
        <f t="shared" ref="X5:X9" si="0">SUM(M5:W5)</f>
        <v>0</v>
      </c>
      <c r="Y5" s="215">
        <f>D5-G5</f>
        <v>0</v>
      </c>
      <c r="AA5" s="208">
        <f>D5-G5-X5</f>
        <v>0</v>
      </c>
    </row>
    <row r="6" spans="1:29" x14ac:dyDescent="0.55000000000000004">
      <c r="A6" s="211" t="s">
        <v>40</v>
      </c>
      <c r="B6" s="211" t="s">
        <v>100</v>
      </c>
      <c r="C6" s="211" t="s">
        <v>131</v>
      </c>
      <c r="D6" s="215">
        <f>5000+5000-2500</f>
        <v>7500</v>
      </c>
      <c r="E6" s="215"/>
      <c r="F6" s="216"/>
      <c r="G6" s="215">
        <v>7500</v>
      </c>
      <c r="H6" s="215"/>
      <c r="I6" s="216"/>
      <c r="J6" s="215"/>
      <c r="K6" s="215"/>
      <c r="L6" s="211"/>
      <c r="M6" s="215"/>
      <c r="N6" s="215"/>
      <c r="O6" s="215"/>
      <c r="P6" s="215"/>
      <c r="Q6" s="215"/>
      <c r="R6" s="215"/>
      <c r="S6" s="215"/>
      <c r="T6" s="215"/>
      <c r="U6" s="215"/>
      <c r="V6" s="215">
        <f>2500-2500</f>
        <v>0</v>
      </c>
      <c r="W6" s="215"/>
      <c r="X6" s="215">
        <f t="shared" si="0"/>
        <v>0</v>
      </c>
      <c r="Y6" s="215">
        <f t="shared" ref="Y6:Y11" si="1">D6-G6</f>
        <v>0</v>
      </c>
      <c r="AA6" s="208">
        <f t="shared" ref="AA6:AA11" si="2">D6-G6-X6</f>
        <v>0</v>
      </c>
    </row>
    <row r="7" spans="1:29" x14ac:dyDescent="0.55000000000000004">
      <c r="A7" s="211" t="s">
        <v>37</v>
      </c>
      <c r="B7" s="211" t="s">
        <v>101</v>
      </c>
      <c r="C7" s="211" t="s">
        <v>133</v>
      </c>
      <c r="D7" s="215">
        <f>75000-5000+5000+1160+2000</f>
        <v>78160</v>
      </c>
      <c r="E7" s="215"/>
      <c r="F7" s="216"/>
      <c r="G7" s="215">
        <v>78160</v>
      </c>
      <c r="H7" s="215"/>
      <c r="I7" s="216"/>
      <c r="J7" s="215"/>
      <c r="K7" s="215"/>
      <c r="L7" s="215"/>
      <c r="M7" s="215"/>
      <c r="N7" s="215"/>
      <c r="O7" s="215"/>
      <c r="P7" s="215"/>
      <c r="R7" s="215"/>
      <c r="S7" s="215"/>
      <c r="T7" s="215"/>
      <c r="U7" s="215"/>
      <c r="V7" s="215"/>
      <c r="W7" s="215"/>
      <c r="X7" s="215">
        <f t="shared" si="0"/>
        <v>0</v>
      </c>
      <c r="Y7" s="215">
        <f t="shared" si="1"/>
        <v>0</v>
      </c>
      <c r="AA7" s="208">
        <f t="shared" si="2"/>
        <v>0</v>
      </c>
      <c r="AC7" s="6" t="s">
        <v>310</v>
      </c>
    </row>
    <row r="8" spans="1:29" x14ac:dyDescent="0.55000000000000004">
      <c r="A8" s="211" t="s">
        <v>221</v>
      </c>
      <c r="B8" s="211" t="s">
        <v>105</v>
      </c>
      <c r="C8" s="211" t="s">
        <v>134</v>
      </c>
      <c r="D8" s="215">
        <f>5000-1160-2000+2500+157+371</f>
        <v>4868</v>
      </c>
      <c r="E8" s="215"/>
      <c r="F8" s="216"/>
      <c r="G8" s="215">
        <v>4808</v>
      </c>
      <c r="H8" s="215">
        <v>60</v>
      </c>
      <c r="I8" s="216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>
        <v>60</v>
      </c>
      <c r="X8" s="215">
        <f t="shared" si="0"/>
        <v>60</v>
      </c>
      <c r="Y8" s="215">
        <f t="shared" si="1"/>
        <v>60</v>
      </c>
      <c r="AA8" s="208">
        <f t="shared" si="2"/>
        <v>0</v>
      </c>
    </row>
    <row r="9" spans="1:29" x14ac:dyDescent="0.55000000000000004">
      <c r="A9" s="211" t="s">
        <v>38</v>
      </c>
      <c r="B9" s="211" t="s">
        <v>105</v>
      </c>
      <c r="C9" s="211" t="s">
        <v>134</v>
      </c>
      <c r="D9" s="215">
        <f>5000-5000</f>
        <v>0</v>
      </c>
      <c r="E9" s="215"/>
      <c r="F9" s="216"/>
      <c r="G9" s="215"/>
      <c r="H9" s="215"/>
      <c r="I9" s="216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>
        <f t="shared" si="0"/>
        <v>0</v>
      </c>
      <c r="Y9" s="215">
        <f t="shared" si="1"/>
        <v>0</v>
      </c>
      <c r="AA9" s="208">
        <f t="shared" si="2"/>
        <v>0</v>
      </c>
    </row>
    <row r="10" spans="1:29" x14ac:dyDescent="0.55000000000000004">
      <c r="A10" s="211" t="s">
        <v>311</v>
      </c>
      <c r="B10" s="211"/>
      <c r="C10" s="211" t="s">
        <v>321</v>
      </c>
      <c r="D10" s="215">
        <f>2000-371</f>
        <v>1629</v>
      </c>
      <c r="E10" s="215"/>
      <c r="F10" s="216"/>
      <c r="G10" s="215">
        <v>73</v>
      </c>
      <c r="H10" s="215">
        <v>929</v>
      </c>
      <c r="I10" s="216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>
        <f>929+627</f>
        <v>1556</v>
      </c>
      <c r="X10" s="215">
        <f>SUM(M10:W10)</f>
        <v>1556</v>
      </c>
      <c r="Y10" s="215">
        <f t="shared" si="1"/>
        <v>1556</v>
      </c>
      <c r="AA10" s="208">
        <f t="shared" si="2"/>
        <v>0</v>
      </c>
    </row>
    <row r="11" spans="1:29" x14ac:dyDescent="0.55000000000000004">
      <c r="A11" s="211" t="s">
        <v>44</v>
      </c>
      <c r="B11" s="211" t="s">
        <v>99</v>
      </c>
      <c r="C11" s="211" t="s">
        <v>135</v>
      </c>
      <c r="D11" s="215">
        <v>3000</v>
      </c>
      <c r="E11" s="215"/>
      <c r="F11" s="216"/>
      <c r="G11" s="215">
        <v>895</v>
      </c>
      <c r="H11" s="215"/>
      <c r="I11" s="216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>
        <v>2105</v>
      </c>
      <c r="X11" s="215">
        <f>SUM(M11:W11)</f>
        <v>2105</v>
      </c>
      <c r="Y11" s="215">
        <f t="shared" si="1"/>
        <v>2105</v>
      </c>
      <c r="AA11" s="209">
        <f t="shared" si="2"/>
        <v>0</v>
      </c>
    </row>
    <row r="12" spans="1:29" ht="14.7" thickBot="1" x14ac:dyDescent="0.6">
      <c r="A12" s="214" t="s">
        <v>156</v>
      </c>
      <c r="B12" s="214"/>
      <c r="C12" s="214"/>
      <c r="D12" s="212">
        <f>95000+157</f>
        <v>95157</v>
      </c>
      <c r="E12" s="212"/>
      <c r="F12" s="213"/>
      <c r="G12" s="212">
        <f>SUM(G5:G11)</f>
        <v>91436</v>
      </c>
      <c r="H12" s="212">
        <f>SUM(H5:H11)</f>
        <v>989</v>
      </c>
      <c r="I12" s="213"/>
      <c r="J12" s="212">
        <v>0</v>
      </c>
      <c r="K12" s="212">
        <v>0</v>
      </c>
      <c r="L12" s="212">
        <v>0</v>
      </c>
      <c r="M12" s="212">
        <v>0</v>
      </c>
      <c r="N12" s="212">
        <f>SUM(N5:N11)</f>
        <v>0</v>
      </c>
      <c r="O12" s="212">
        <f t="shared" ref="O12:Y12" si="3">SUM(O5:O11)</f>
        <v>0</v>
      </c>
      <c r="P12" s="212">
        <f t="shared" si="3"/>
        <v>0</v>
      </c>
      <c r="Q12" s="212">
        <f t="shared" si="3"/>
        <v>0</v>
      </c>
      <c r="R12" s="212">
        <f t="shared" si="3"/>
        <v>0</v>
      </c>
      <c r="S12" s="212">
        <f t="shared" si="3"/>
        <v>0</v>
      </c>
      <c r="T12" s="212">
        <f t="shared" si="3"/>
        <v>0</v>
      </c>
      <c r="U12" s="212">
        <f t="shared" si="3"/>
        <v>0</v>
      </c>
      <c r="V12" s="212">
        <f t="shared" si="3"/>
        <v>0</v>
      </c>
      <c r="W12" s="212">
        <f t="shared" si="3"/>
        <v>3721</v>
      </c>
      <c r="X12" s="212">
        <f t="shared" si="3"/>
        <v>3721</v>
      </c>
      <c r="Y12" s="212">
        <f t="shared" si="3"/>
        <v>3721</v>
      </c>
      <c r="AA12" s="208">
        <f>SUM(AA5:AA11)</f>
        <v>0</v>
      </c>
    </row>
    <row r="13" spans="1:29" ht="14.7" thickTop="1" x14ac:dyDescent="0.55000000000000004">
      <c r="D13" s="9"/>
      <c r="E13" s="10"/>
      <c r="F13" s="10"/>
      <c r="G13" s="10"/>
      <c r="H13" s="215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215"/>
      <c r="X13" s="10"/>
      <c r="Y13" s="10"/>
    </row>
    <row r="14" spans="1:29" x14ac:dyDescent="0.55000000000000004">
      <c r="A14" t="s">
        <v>56</v>
      </c>
      <c r="D14" s="10"/>
      <c r="E14" s="10"/>
      <c r="F14" s="10"/>
      <c r="G14" s="10"/>
      <c r="H14" s="215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215"/>
      <c r="T14" s="215"/>
      <c r="U14" s="215"/>
      <c r="V14" s="215"/>
      <c r="W14" s="215"/>
      <c r="X14" s="215"/>
      <c r="Y14" s="215"/>
    </row>
    <row r="15" spans="1:29" x14ac:dyDescent="0.55000000000000004">
      <c r="R15" s="215"/>
      <c r="S15" s="215"/>
      <c r="T15" s="215"/>
      <c r="U15" s="215"/>
      <c r="V15" s="215"/>
      <c r="W15" s="215"/>
      <c r="X15" s="215"/>
      <c r="Y15" s="215"/>
    </row>
    <row r="16" spans="1:29" x14ac:dyDescent="0.55000000000000004">
      <c r="R16" s="215"/>
      <c r="S16" s="215"/>
      <c r="T16" s="215"/>
      <c r="U16" s="215"/>
      <c r="V16" s="215"/>
      <c r="W16" s="215"/>
      <c r="X16" s="215"/>
      <c r="Y16" s="215"/>
    </row>
    <row r="17" spans="1:27" x14ac:dyDescent="0.55000000000000004">
      <c r="A17" s="137" t="s">
        <v>228</v>
      </c>
      <c r="Q17" s="211"/>
      <c r="R17" s="215"/>
      <c r="S17" s="215"/>
      <c r="T17" s="215"/>
      <c r="U17" s="215"/>
      <c r="V17" s="215"/>
      <c r="W17" s="215"/>
      <c r="X17" s="215"/>
      <c r="Y17" s="215"/>
    </row>
    <row r="18" spans="1:27" x14ac:dyDescent="0.55000000000000004">
      <c r="A18" s="211"/>
      <c r="B18" s="211"/>
      <c r="C18" s="211"/>
      <c r="D18" s="211"/>
      <c r="E18" s="211"/>
      <c r="F18" s="211"/>
      <c r="G18" s="211"/>
      <c r="I18" s="211"/>
      <c r="J18" s="211"/>
      <c r="K18" s="211"/>
      <c r="L18" s="211"/>
      <c r="M18" s="211"/>
      <c r="N18" s="211"/>
      <c r="O18" s="211"/>
      <c r="P18" s="211"/>
      <c r="Q18" s="211"/>
      <c r="R18" s="215"/>
      <c r="S18" s="215"/>
      <c r="T18" s="215"/>
      <c r="U18" s="215"/>
      <c r="V18" s="215"/>
      <c r="W18" s="215"/>
      <c r="X18" s="215"/>
      <c r="Y18" s="215"/>
    </row>
    <row r="19" spans="1:27" x14ac:dyDescent="0.55000000000000004">
      <c r="A19" s="211"/>
      <c r="B19" s="211"/>
      <c r="C19" s="211"/>
      <c r="D19" s="211"/>
      <c r="E19" s="211"/>
      <c r="F19" s="211"/>
      <c r="G19" s="211"/>
      <c r="I19" s="211"/>
      <c r="J19" s="211"/>
      <c r="K19" s="211"/>
      <c r="L19" s="211"/>
      <c r="M19" s="211"/>
      <c r="N19" s="211"/>
      <c r="O19" s="211"/>
      <c r="P19" s="211"/>
      <c r="Q19" s="211"/>
      <c r="R19" s="215"/>
      <c r="S19" s="215"/>
      <c r="T19" s="215"/>
      <c r="U19" s="215"/>
      <c r="V19" s="215"/>
      <c r="W19" s="215"/>
      <c r="X19" s="215"/>
      <c r="Y19" s="215"/>
      <c r="Z19" s="211"/>
      <c r="AA19" s="211"/>
    </row>
    <row r="20" spans="1:27" x14ac:dyDescent="0.55000000000000004">
      <c r="A20" s="211"/>
      <c r="B20" s="211"/>
      <c r="C20" s="211"/>
      <c r="D20" s="211"/>
      <c r="E20" s="211"/>
      <c r="F20" s="211"/>
      <c r="G20" s="211"/>
      <c r="I20" s="211"/>
      <c r="J20" s="211"/>
      <c r="K20" s="211"/>
      <c r="L20" s="211"/>
      <c r="M20" s="211"/>
      <c r="N20" s="211"/>
      <c r="O20" s="211"/>
      <c r="P20" s="211"/>
      <c r="Q20" s="211"/>
      <c r="R20" s="215"/>
      <c r="S20" s="215"/>
      <c r="T20" s="215"/>
      <c r="U20" s="215"/>
      <c r="V20" s="215"/>
      <c r="W20" s="215"/>
      <c r="X20" s="215"/>
      <c r="Y20" s="215"/>
      <c r="Z20" s="211"/>
      <c r="AA20" s="211"/>
    </row>
    <row r="21" spans="1:27" x14ac:dyDescent="0.55000000000000004">
      <c r="A21" s="211"/>
      <c r="B21" s="211"/>
      <c r="C21" s="211"/>
      <c r="D21" s="211"/>
      <c r="E21" s="211"/>
      <c r="F21" s="211"/>
      <c r="G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X21" s="211"/>
      <c r="Y21" s="211"/>
      <c r="Z21" s="211"/>
      <c r="AA21" s="211"/>
    </row>
    <row r="22" spans="1:27" x14ac:dyDescent="0.55000000000000004">
      <c r="A22" s="211"/>
      <c r="B22" s="211"/>
      <c r="C22" s="211"/>
      <c r="D22" s="211"/>
      <c r="E22" s="211"/>
      <c r="F22" s="211"/>
      <c r="G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X22" s="211"/>
      <c r="Y22" s="211"/>
      <c r="Z22" s="211"/>
      <c r="AA22" s="211"/>
    </row>
    <row r="23" spans="1:27" x14ac:dyDescent="0.55000000000000004">
      <c r="A23" s="211"/>
      <c r="B23" s="211"/>
      <c r="C23" s="211"/>
      <c r="D23" s="211"/>
      <c r="E23" s="211"/>
      <c r="F23" s="211"/>
      <c r="G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X23" s="211"/>
      <c r="Y23" s="211"/>
      <c r="Z23" s="211"/>
      <c r="AA23" s="211"/>
    </row>
    <row r="24" spans="1:27" x14ac:dyDescent="0.55000000000000004">
      <c r="A24" s="211"/>
      <c r="B24" s="211"/>
      <c r="C24" s="211"/>
      <c r="D24" s="211"/>
      <c r="E24" s="211"/>
      <c r="F24" s="211"/>
      <c r="G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X24" s="211"/>
      <c r="Y24" s="211"/>
      <c r="Z24" s="211"/>
      <c r="AA24" s="211"/>
    </row>
    <row r="25" spans="1:27" x14ac:dyDescent="0.55000000000000004">
      <c r="A25" s="211"/>
      <c r="B25" s="211"/>
      <c r="C25" s="211"/>
      <c r="D25" s="211"/>
      <c r="E25" s="211"/>
      <c r="F25" s="211"/>
      <c r="G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X25" s="211"/>
      <c r="Y25" s="211"/>
      <c r="Z25" s="211"/>
      <c r="AA25" s="211"/>
    </row>
    <row r="26" spans="1:27" x14ac:dyDescent="0.55000000000000004">
      <c r="A26" s="211"/>
      <c r="B26" s="211"/>
      <c r="C26" s="211"/>
      <c r="D26" s="211"/>
      <c r="E26" s="211"/>
      <c r="F26" s="211"/>
      <c r="G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X26" s="211"/>
      <c r="Y26" s="211"/>
      <c r="Z26" s="211"/>
      <c r="AA26" s="211"/>
    </row>
    <row r="27" spans="1:27" x14ac:dyDescent="0.55000000000000004">
      <c r="A27" s="211"/>
      <c r="B27" s="211"/>
      <c r="C27" s="211"/>
      <c r="D27" s="211"/>
      <c r="E27" s="211"/>
      <c r="F27" s="211"/>
      <c r="G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X27" s="211"/>
      <c r="Y27" s="211"/>
      <c r="Z27" s="211"/>
      <c r="AA27" s="211"/>
    </row>
    <row r="28" spans="1:27" x14ac:dyDescent="0.55000000000000004">
      <c r="A28" s="211"/>
      <c r="B28" s="211"/>
      <c r="C28" s="211"/>
      <c r="D28" s="211"/>
      <c r="E28" s="211"/>
      <c r="F28" s="211"/>
      <c r="G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X28" s="211"/>
      <c r="Y28" s="211"/>
      <c r="Z28" s="211"/>
      <c r="AA28" s="211"/>
    </row>
    <row r="29" spans="1:27" x14ac:dyDescent="0.55000000000000004">
      <c r="A29" s="211"/>
      <c r="B29" s="211"/>
      <c r="C29" s="211"/>
      <c r="D29" s="211"/>
      <c r="E29" s="211"/>
      <c r="F29" s="211"/>
      <c r="G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X29" s="211"/>
      <c r="Y29" s="211"/>
      <c r="Z29" s="211"/>
      <c r="AA29" s="211"/>
    </row>
    <row r="30" spans="1:27" x14ac:dyDescent="0.55000000000000004">
      <c r="A30" s="211"/>
      <c r="B30" s="211"/>
      <c r="C30" s="211"/>
      <c r="D30" s="211"/>
      <c r="E30" s="211"/>
      <c r="F30" s="211"/>
      <c r="G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X30" s="211"/>
      <c r="Y30" s="211"/>
      <c r="Z30" s="211"/>
      <c r="AA30" s="211"/>
    </row>
  </sheetData>
  <mergeCells count="1">
    <mergeCell ref="K2:V2"/>
  </mergeCells>
  <pageMargins left="0.7" right="0.7" top="0.75" bottom="0.75" header="0.3" footer="0.3"/>
  <pageSetup paperSize="9" scale="52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workbookViewId="0">
      <selection activeCell="S29" sqref="S29"/>
    </sheetView>
  </sheetViews>
  <sheetFormatPr defaultRowHeight="14.4" x14ac:dyDescent="0.55000000000000004"/>
  <cols>
    <col min="1" max="1" width="19.15625" customWidth="1"/>
    <col min="2" max="2" width="4.578125" customWidth="1"/>
    <col min="3" max="3" width="16.15625" customWidth="1"/>
    <col min="4" max="4" width="7" customWidth="1"/>
    <col min="5" max="5" width="6.68359375" customWidth="1"/>
    <col min="6" max="6" width="1.578125" customWidth="1"/>
    <col min="7" max="7" width="7" customWidth="1"/>
    <col min="8" max="8" width="1.26171875" customWidth="1"/>
    <col min="9" max="9" width="6" hidden="1" customWidth="1"/>
    <col min="10" max="10" width="6.26171875" hidden="1" customWidth="1"/>
    <col min="11" max="11" width="6.68359375" hidden="1" customWidth="1"/>
    <col min="12" max="12" width="5.578125" customWidth="1"/>
    <col min="13" max="13" width="6.578125" customWidth="1"/>
    <col min="14" max="14" width="6.68359375" customWidth="1"/>
    <col min="15" max="15" width="6" customWidth="1"/>
    <col min="16" max="16" width="7.83984375" customWidth="1"/>
    <col min="17" max="17" width="8" customWidth="1"/>
    <col min="18" max="18" width="7.26171875" customWidth="1"/>
    <col min="19" max="19" width="6.68359375" customWidth="1"/>
    <col min="20" max="20" width="6.83984375" customWidth="1"/>
    <col min="21" max="21" width="6.41796875" customWidth="1"/>
    <col min="22" max="22" width="7.68359375" customWidth="1"/>
    <col min="23" max="23" width="9.68359375" customWidth="1"/>
  </cols>
  <sheetData>
    <row r="1" spans="1:23" ht="12" customHeight="1" x14ac:dyDescent="0.55000000000000004">
      <c r="A1" s="9" t="s">
        <v>0</v>
      </c>
      <c r="B1" s="9"/>
      <c r="C1" s="9"/>
    </row>
    <row r="2" spans="1:23" s="10" customFormat="1" x14ac:dyDescent="0.55000000000000004">
      <c r="A2" s="9"/>
      <c r="B2" s="9"/>
      <c r="C2" s="9"/>
      <c r="D2" s="2"/>
      <c r="E2" s="2"/>
      <c r="F2" s="2"/>
      <c r="G2" s="2"/>
      <c r="H2" s="2"/>
      <c r="I2" s="153">
        <v>2016</v>
      </c>
      <c r="J2" s="276">
        <v>2017</v>
      </c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9"/>
      <c r="W2" s="9" t="s">
        <v>154</v>
      </c>
    </row>
    <row r="3" spans="1:23" s="10" customFormat="1" x14ac:dyDescent="0.55000000000000004">
      <c r="A3" s="11"/>
      <c r="B3" s="11"/>
      <c r="C3" s="11"/>
      <c r="D3" s="4" t="s">
        <v>2</v>
      </c>
      <c r="E3" s="4" t="s">
        <v>3</v>
      </c>
      <c r="F3" s="62"/>
      <c r="G3" s="4" t="s">
        <v>70</v>
      </c>
      <c r="H3" s="62"/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142</v>
      </c>
      <c r="O3" s="9" t="s">
        <v>5</v>
      </c>
      <c r="P3" s="9" t="s">
        <v>6</v>
      </c>
      <c r="Q3" s="9" t="s">
        <v>7</v>
      </c>
      <c r="R3" s="9" t="s">
        <v>8</v>
      </c>
      <c r="S3" s="9" t="s">
        <v>9</v>
      </c>
      <c r="T3" s="9" t="s">
        <v>10</v>
      </c>
      <c r="U3" s="9" t="s">
        <v>11</v>
      </c>
      <c r="V3" s="9" t="s">
        <v>68</v>
      </c>
      <c r="W3" s="9" t="s">
        <v>150</v>
      </c>
    </row>
    <row r="4" spans="1:23" x14ac:dyDescent="0.55000000000000004">
      <c r="A4" s="1" t="s">
        <v>52</v>
      </c>
      <c r="B4" s="1"/>
      <c r="C4" s="1"/>
      <c r="D4" s="9">
        <f>Summary!I17</f>
        <v>0</v>
      </c>
      <c r="F4" s="45"/>
      <c r="H4" s="45"/>
    </row>
    <row r="5" spans="1:23" x14ac:dyDescent="0.55000000000000004">
      <c r="A5" t="s">
        <v>34</v>
      </c>
      <c r="D5" s="10"/>
      <c r="E5" s="10"/>
      <c r="F5" s="116"/>
      <c r="G5" s="10"/>
      <c r="H5" s="116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>
        <f>I5+J5+K5+L5+M5+N5+O5+P5+Q5+R5+S5+T5+U5</f>
        <v>0</v>
      </c>
      <c r="W5" s="10"/>
    </row>
    <row r="6" spans="1:23" x14ac:dyDescent="0.55000000000000004">
      <c r="A6" t="s">
        <v>40</v>
      </c>
      <c r="D6" s="10"/>
      <c r="E6" s="10"/>
      <c r="F6" s="116"/>
      <c r="G6" s="10"/>
      <c r="H6" s="116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>
        <f t="shared" ref="V6:V13" si="0">I6+J6+K6+L6+M6+N6+O6+P6+Q6+R6+S6+T6+U6</f>
        <v>0</v>
      </c>
      <c r="W6" s="10"/>
    </row>
    <row r="7" spans="1:23" x14ac:dyDescent="0.55000000000000004">
      <c r="A7" t="s">
        <v>41</v>
      </c>
      <c r="B7" t="s">
        <v>97</v>
      </c>
      <c r="C7" t="s">
        <v>140</v>
      </c>
      <c r="D7" s="9"/>
      <c r="E7" s="10"/>
      <c r="F7" s="116"/>
      <c r="G7" s="10"/>
      <c r="H7" s="116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>
        <f t="shared" si="0"/>
        <v>0</v>
      </c>
      <c r="W7" s="10">
        <f>D7-G7</f>
        <v>0</v>
      </c>
    </row>
    <row r="8" spans="1:23" x14ac:dyDescent="0.55000000000000004">
      <c r="A8" t="s">
        <v>37</v>
      </c>
      <c r="D8" s="10"/>
      <c r="E8" s="10"/>
      <c r="F8" s="116"/>
      <c r="G8" s="10"/>
      <c r="H8" s="116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>
        <f t="shared" si="0"/>
        <v>0</v>
      </c>
      <c r="W8" s="10"/>
    </row>
    <row r="9" spans="1:23" x14ac:dyDescent="0.55000000000000004">
      <c r="A9" t="s">
        <v>33</v>
      </c>
      <c r="D9" s="10"/>
      <c r="E9" s="10"/>
      <c r="F9" s="116"/>
      <c r="G9" s="10"/>
      <c r="H9" s="116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>
        <f t="shared" si="0"/>
        <v>0</v>
      </c>
      <c r="W9" s="10"/>
    </row>
    <row r="10" spans="1:23" x14ac:dyDescent="0.55000000000000004">
      <c r="A10" t="s">
        <v>38</v>
      </c>
      <c r="D10" s="10"/>
      <c r="E10" s="10"/>
      <c r="F10" s="116"/>
      <c r="G10" s="10"/>
      <c r="H10" s="116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>
        <f t="shared" si="0"/>
        <v>0</v>
      </c>
      <c r="W10" s="10"/>
    </row>
    <row r="11" spans="1:23" x14ac:dyDescent="0.55000000000000004">
      <c r="A11" t="s">
        <v>44</v>
      </c>
      <c r="D11" s="10"/>
      <c r="E11" s="10"/>
      <c r="F11" s="116"/>
      <c r="G11" s="10"/>
      <c r="H11" s="116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>
        <f t="shared" si="0"/>
        <v>0</v>
      </c>
      <c r="W11" s="10"/>
    </row>
    <row r="12" spans="1:23" x14ac:dyDescent="0.55000000000000004">
      <c r="A12" t="s">
        <v>42</v>
      </c>
      <c r="D12" s="10"/>
      <c r="E12" s="10"/>
      <c r="F12" s="116"/>
      <c r="G12" s="10"/>
      <c r="H12" s="116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>
        <f t="shared" si="0"/>
        <v>0</v>
      </c>
      <c r="W12" s="10"/>
    </row>
    <row r="13" spans="1:23" ht="14.7" thickBot="1" x14ac:dyDescent="0.6">
      <c r="A13" s="1" t="s">
        <v>156</v>
      </c>
      <c r="B13" s="1"/>
      <c r="C13" s="1"/>
      <c r="D13" s="113">
        <f>D4</f>
        <v>0</v>
      </c>
      <c r="E13" s="160"/>
      <c r="F13" s="161"/>
      <c r="G13" s="160">
        <f>SUM(G5:G12)</f>
        <v>0</v>
      </c>
      <c r="H13" s="161"/>
      <c r="I13" s="113">
        <f t="shared" ref="I13:U13" si="1">SUM(I6:I12)</f>
        <v>0</v>
      </c>
      <c r="J13" s="113">
        <f t="shared" si="1"/>
        <v>0</v>
      </c>
      <c r="K13" s="113">
        <f t="shared" si="1"/>
        <v>0</v>
      </c>
      <c r="L13" s="113">
        <f t="shared" si="1"/>
        <v>0</v>
      </c>
      <c r="M13" s="113">
        <f t="shared" si="1"/>
        <v>0</v>
      </c>
      <c r="N13" s="113">
        <f t="shared" si="1"/>
        <v>0</v>
      </c>
      <c r="O13" s="113">
        <f t="shared" si="1"/>
        <v>0</v>
      </c>
      <c r="P13" s="113">
        <f t="shared" si="1"/>
        <v>0</v>
      </c>
      <c r="Q13" s="113">
        <f t="shared" si="1"/>
        <v>0</v>
      </c>
      <c r="R13" s="113">
        <f t="shared" si="1"/>
        <v>0</v>
      </c>
      <c r="S13" s="113">
        <f t="shared" si="1"/>
        <v>0</v>
      </c>
      <c r="T13" s="113">
        <f t="shared" si="1"/>
        <v>0</v>
      </c>
      <c r="U13" s="113">
        <f t="shared" si="1"/>
        <v>0</v>
      </c>
      <c r="V13" s="113">
        <f t="shared" si="0"/>
        <v>0</v>
      </c>
      <c r="W13" s="113">
        <f>SUM(W5:W12)</f>
        <v>0</v>
      </c>
    </row>
    <row r="14" spans="1:23" ht="14.7" thickTop="1" x14ac:dyDescent="0.55000000000000004"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x14ac:dyDescent="0.55000000000000004">
      <c r="A15" t="s">
        <v>172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x14ac:dyDescent="0.55000000000000004">
      <c r="A16" t="s">
        <v>185</v>
      </c>
    </row>
    <row r="18" spans="1:1" x14ac:dyDescent="0.55000000000000004">
      <c r="A18" t="s">
        <v>227</v>
      </c>
    </row>
  </sheetData>
  <mergeCells count="1">
    <mergeCell ref="J2:U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"/>
  <sheetViews>
    <sheetView workbookViewId="0">
      <selection activeCell="K21" sqref="K21"/>
    </sheetView>
  </sheetViews>
  <sheetFormatPr defaultRowHeight="14.4" x14ac:dyDescent="0.55000000000000004"/>
  <cols>
    <col min="2" max="2" width="14.41796875" bestFit="1" customWidth="1"/>
    <col min="3" max="3" width="12.83984375" customWidth="1"/>
    <col min="4" max="4" width="1.578125" customWidth="1"/>
    <col min="17" max="17" width="10.578125" customWidth="1"/>
    <col min="18" max="18" width="9.83984375" customWidth="1"/>
  </cols>
  <sheetData>
    <row r="1" spans="1:20" x14ac:dyDescent="0.55000000000000004">
      <c r="A1" s="233" t="s">
        <v>271</v>
      </c>
    </row>
    <row r="3" spans="1:20" ht="57.6" x14ac:dyDescent="0.55000000000000004">
      <c r="C3" s="247" t="s">
        <v>270</v>
      </c>
      <c r="E3" s="244">
        <v>42917</v>
      </c>
      <c r="F3" s="244">
        <v>42948</v>
      </c>
      <c r="G3" s="244">
        <v>42979</v>
      </c>
      <c r="H3" s="244">
        <v>43009</v>
      </c>
      <c r="I3" s="244">
        <v>43040</v>
      </c>
      <c r="J3" s="244">
        <v>43070</v>
      </c>
      <c r="K3" s="244">
        <v>43101</v>
      </c>
      <c r="L3" s="244">
        <v>43132</v>
      </c>
      <c r="M3" s="244">
        <v>43160</v>
      </c>
      <c r="Q3" s="246" t="s">
        <v>273</v>
      </c>
      <c r="R3" s="246" t="s">
        <v>272</v>
      </c>
    </row>
    <row r="4" spans="1:20" x14ac:dyDescent="0.55000000000000004">
      <c r="A4" t="s">
        <v>263</v>
      </c>
      <c r="B4" t="s">
        <v>269</v>
      </c>
      <c r="C4" s="226">
        <v>82874</v>
      </c>
      <c r="E4">
        <v>22807</v>
      </c>
      <c r="F4">
        <v>12852</v>
      </c>
      <c r="G4">
        <v>12847</v>
      </c>
      <c r="H4">
        <v>9392</v>
      </c>
      <c r="I4">
        <v>9391</v>
      </c>
      <c r="J4">
        <v>10095</v>
      </c>
      <c r="K4">
        <v>5845</v>
      </c>
      <c r="L4">
        <v>6145</v>
      </c>
      <c r="M4">
        <v>-6500</v>
      </c>
      <c r="N4" s="245">
        <f>C4-SUM(E4:M4)</f>
        <v>0</v>
      </c>
      <c r="Q4" s="226">
        <v>119221</v>
      </c>
      <c r="R4" s="226">
        <v>133669.32999999999</v>
      </c>
      <c r="S4" s="245">
        <f>R4-Q4</f>
        <v>14448.329999999987</v>
      </c>
    </row>
    <row r="5" spans="1:20" x14ac:dyDescent="0.55000000000000004">
      <c r="A5" t="s">
        <v>165</v>
      </c>
      <c r="B5" s="211" t="s">
        <v>58</v>
      </c>
      <c r="C5" s="226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 s="245">
        <f t="shared" ref="N5:N14" si="0">C5-SUM(E5:M5)</f>
        <v>0</v>
      </c>
      <c r="Q5" s="226">
        <v>405258</v>
      </c>
      <c r="R5" s="226">
        <v>405257</v>
      </c>
      <c r="S5" s="245">
        <f t="shared" ref="S5:S14" si="1">R5-Q5</f>
        <v>-1</v>
      </c>
    </row>
    <row r="6" spans="1:20" x14ac:dyDescent="0.55000000000000004">
      <c r="A6" t="s">
        <v>242</v>
      </c>
      <c r="B6" s="211" t="s">
        <v>264</v>
      </c>
      <c r="C6" s="226">
        <f>3412-2588</f>
        <v>824</v>
      </c>
      <c r="E6">
        <f>149+75</f>
        <v>224</v>
      </c>
      <c r="F6">
        <v>600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 s="245">
        <f t="shared" si="0"/>
        <v>0</v>
      </c>
      <c r="Q6" s="226">
        <v>39088</v>
      </c>
      <c r="R6" s="226">
        <v>39163</v>
      </c>
      <c r="S6" s="245">
        <f t="shared" si="1"/>
        <v>75</v>
      </c>
    </row>
    <row r="7" spans="1:20" x14ac:dyDescent="0.55000000000000004">
      <c r="A7" t="s">
        <v>244</v>
      </c>
      <c r="B7" s="211" t="s">
        <v>47</v>
      </c>
      <c r="C7" s="226">
        <f>26100+2588</f>
        <v>28688</v>
      </c>
      <c r="E7">
        <v>3200</v>
      </c>
      <c r="F7">
        <v>18758</v>
      </c>
      <c r="G7">
        <v>6730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 s="245">
        <f t="shared" si="0"/>
        <v>0</v>
      </c>
      <c r="Q7" s="226">
        <v>18900</v>
      </c>
      <c r="R7" s="226">
        <v>18900</v>
      </c>
      <c r="S7" s="245">
        <f t="shared" si="1"/>
        <v>0</v>
      </c>
    </row>
    <row r="8" spans="1:20" x14ac:dyDescent="0.55000000000000004">
      <c r="A8" t="s">
        <v>171</v>
      </c>
      <c r="B8" s="211" t="s">
        <v>265</v>
      </c>
      <c r="C8" s="226">
        <v>11651</v>
      </c>
      <c r="E8">
        <v>2000</v>
      </c>
      <c r="F8">
        <v>9651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 s="245">
        <f t="shared" si="0"/>
        <v>0</v>
      </c>
      <c r="Q8" s="226">
        <v>72099</v>
      </c>
      <c r="R8" s="226">
        <v>72099</v>
      </c>
      <c r="S8" s="245">
        <f t="shared" si="1"/>
        <v>0</v>
      </c>
    </row>
    <row r="9" spans="1:20" x14ac:dyDescent="0.55000000000000004">
      <c r="A9" t="s">
        <v>167</v>
      </c>
      <c r="B9" s="211" t="s">
        <v>266</v>
      </c>
      <c r="C9" s="226">
        <v>15000</v>
      </c>
      <c r="E9">
        <v>5000</v>
      </c>
      <c r="F9">
        <v>8000</v>
      </c>
      <c r="G9">
        <v>2000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 s="245">
        <f t="shared" si="0"/>
        <v>0</v>
      </c>
      <c r="Q9" s="226">
        <v>10000</v>
      </c>
      <c r="R9" s="226">
        <v>10000</v>
      </c>
      <c r="S9" s="245">
        <f t="shared" si="1"/>
        <v>0</v>
      </c>
    </row>
    <row r="10" spans="1:20" x14ac:dyDescent="0.55000000000000004">
      <c r="A10" t="s">
        <v>241</v>
      </c>
      <c r="B10" s="211" t="s">
        <v>267</v>
      </c>
      <c r="C10" s="226">
        <v>1000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1000</v>
      </c>
      <c r="L10">
        <v>0</v>
      </c>
      <c r="M10">
        <v>0</v>
      </c>
      <c r="N10" s="245">
        <f t="shared" si="0"/>
        <v>0</v>
      </c>
      <c r="Q10" s="226">
        <v>77000</v>
      </c>
      <c r="R10" s="226">
        <v>77000</v>
      </c>
      <c r="S10" s="245">
        <f t="shared" si="1"/>
        <v>0</v>
      </c>
    </row>
    <row r="11" spans="1:20" x14ac:dyDescent="0.55000000000000004">
      <c r="A11" t="s">
        <v>166</v>
      </c>
      <c r="B11" s="211" t="s">
        <v>268</v>
      </c>
      <c r="C11" s="226">
        <v>30210</v>
      </c>
      <c r="E11">
        <v>18800</v>
      </c>
      <c r="F11">
        <v>6710</v>
      </c>
      <c r="G11">
        <v>0</v>
      </c>
      <c r="H11">
        <v>4700</v>
      </c>
      <c r="I11">
        <v>0</v>
      </c>
      <c r="J11">
        <v>0</v>
      </c>
      <c r="K11">
        <v>0</v>
      </c>
      <c r="L11">
        <v>0</v>
      </c>
      <c r="N11" s="245">
        <f t="shared" si="0"/>
        <v>0</v>
      </c>
      <c r="Q11" s="226">
        <v>26500</v>
      </c>
      <c r="R11" s="226">
        <v>26500</v>
      </c>
      <c r="S11" s="245">
        <f t="shared" si="1"/>
        <v>0</v>
      </c>
    </row>
    <row r="12" spans="1:20" x14ac:dyDescent="0.55000000000000004">
      <c r="A12" t="s">
        <v>168</v>
      </c>
      <c r="B12" s="211" t="s">
        <v>48</v>
      </c>
      <c r="C12" s="226">
        <v>64000</v>
      </c>
      <c r="E12">
        <v>0</v>
      </c>
      <c r="F12">
        <v>36500</v>
      </c>
      <c r="G12">
        <v>4500</v>
      </c>
      <c r="H12">
        <v>6000</v>
      </c>
      <c r="I12">
        <v>3000</v>
      </c>
      <c r="J12">
        <v>0</v>
      </c>
      <c r="K12">
        <v>0</v>
      </c>
      <c r="L12">
        <v>0</v>
      </c>
      <c r="M12">
        <v>0</v>
      </c>
      <c r="N12" s="245">
        <f t="shared" si="0"/>
        <v>14000</v>
      </c>
      <c r="Q12" s="226">
        <v>0</v>
      </c>
      <c r="R12" s="226">
        <v>0</v>
      </c>
      <c r="S12" s="245">
        <f t="shared" si="1"/>
        <v>0</v>
      </c>
      <c r="T12" t="s">
        <v>277</v>
      </c>
    </row>
    <row r="13" spans="1:20" x14ac:dyDescent="0.55000000000000004">
      <c r="A13" t="s">
        <v>245</v>
      </c>
      <c r="B13" s="211" t="s">
        <v>220</v>
      </c>
      <c r="C13" s="226">
        <v>92500</v>
      </c>
      <c r="E13">
        <v>0</v>
      </c>
      <c r="F13">
        <v>5500</v>
      </c>
      <c r="G13">
        <v>26500</v>
      </c>
      <c r="H13">
        <v>30500</v>
      </c>
      <c r="I13">
        <v>25000</v>
      </c>
      <c r="J13">
        <v>5000</v>
      </c>
      <c r="K13">
        <v>0</v>
      </c>
      <c r="L13">
        <v>0</v>
      </c>
      <c r="M13">
        <v>0</v>
      </c>
      <c r="N13" s="245">
        <f t="shared" si="0"/>
        <v>0</v>
      </c>
      <c r="Q13" s="226">
        <v>2500</v>
      </c>
      <c r="R13" s="226">
        <v>2500</v>
      </c>
      <c r="S13" s="245">
        <f t="shared" si="1"/>
        <v>0</v>
      </c>
    </row>
    <row r="14" spans="1:20" x14ac:dyDescent="0.55000000000000004">
      <c r="A14" t="s">
        <v>243</v>
      </c>
      <c r="B14" t="s">
        <v>23</v>
      </c>
      <c r="C14" s="226">
        <v>1424</v>
      </c>
      <c r="E14">
        <v>924</v>
      </c>
      <c r="F14">
        <v>0</v>
      </c>
      <c r="G14">
        <v>0</v>
      </c>
      <c r="H14">
        <v>500</v>
      </c>
      <c r="I14">
        <v>0</v>
      </c>
      <c r="J14">
        <v>0</v>
      </c>
      <c r="K14">
        <v>0</v>
      </c>
      <c r="L14">
        <v>0</v>
      </c>
      <c r="M14">
        <v>0</v>
      </c>
      <c r="N14" s="245">
        <f t="shared" si="0"/>
        <v>0</v>
      </c>
      <c r="Q14" s="226">
        <v>19271</v>
      </c>
      <c r="R14" s="226">
        <v>19271</v>
      </c>
      <c r="S14" s="245">
        <f t="shared" si="1"/>
        <v>0</v>
      </c>
    </row>
    <row r="15" spans="1:20" x14ac:dyDescent="0.55000000000000004">
      <c r="C15" s="243">
        <f>SUM(C4:C14)</f>
        <v>328171</v>
      </c>
      <c r="E15" s="243">
        <f t="shared" ref="E15:M15" si="2">SUM(E4:E14)</f>
        <v>52955</v>
      </c>
      <c r="F15" s="243">
        <f t="shared" si="2"/>
        <v>98571</v>
      </c>
      <c r="G15" s="243">
        <f t="shared" si="2"/>
        <v>52577</v>
      </c>
      <c r="H15" s="243">
        <f t="shared" si="2"/>
        <v>51092</v>
      </c>
      <c r="I15" s="243">
        <f t="shared" si="2"/>
        <v>37391</v>
      </c>
      <c r="J15" s="243">
        <f t="shared" si="2"/>
        <v>15095</v>
      </c>
      <c r="K15" s="243">
        <f t="shared" si="2"/>
        <v>6845</v>
      </c>
      <c r="L15" s="243">
        <f t="shared" si="2"/>
        <v>6145</v>
      </c>
      <c r="M15" s="243">
        <f t="shared" si="2"/>
        <v>-6500</v>
      </c>
      <c r="N15" s="245">
        <f>C15-SUM(E15:M15)</f>
        <v>14000</v>
      </c>
      <c r="Q15" s="243">
        <f t="shared" ref="Q15" si="3">SUM(Q4:Q14)</f>
        <v>789837</v>
      </c>
      <c r="R15" s="243">
        <f t="shared" ref="R15" si="4">SUM(R4:R14)</f>
        <v>804359.33</v>
      </c>
    </row>
    <row r="16" spans="1:20" x14ac:dyDescent="0.55000000000000004">
      <c r="C16" s="226"/>
    </row>
  </sheetData>
  <pageMargins left="0.31496062992125984" right="0.31496062992125984" top="0.74803149606299213" bottom="0.74803149606299213" header="0.31496062992125984" footer="0.31496062992125984"/>
  <pageSetup paperSize="9" scale="5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5"/>
  <sheetViews>
    <sheetView workbookViewId="0">
      <selection activeCell="K33" sqref="K33"/>
    </sheetView>
  </sheetViews>
  <sheetFormatPr defaultRowHeight="14.4" x14ac:dyDescent="0.55000000000000004"/>
  <cols>
    <col min="1" max="1" width="84.578125" bestFit="1" customWidth="1"/>
    <col min="2" max="2" width="10.578125" style="271" bestFit="1" customWidth="1"/>
  </cols>
  <sheetData>
    <row r="1" spans="1:2" s="211" customFormat="1" x14ac:dyDescent="0.55000000000000004">
      <c r="A1" s="233" t="s">
        <v>337</v>
      </c>
      <c r="B1" s="271"/>
    </row>
    <row r="3" spans="1:2" x14ac:dyDescent="0.55000000000000004">
      <c r="A3" s="214" t="s">
        <v>326</v>
      </c>
    </row>
    <row r="4" spans="1:2" x14ac:dyDescent="0.55000000000000004">
      <c r="A4" t="s">
        <v>322</v>
      </c>
      <c r="B4" s="271">
        <v>1215.4499999999998</v>
      </c>
    </row>
    <row r="5" spans="1:2" x14ac:dyDescent="0.55000000000000004">
      <c r="A5" t="s">
        <v>323</v>
      </c>
      <c r="B5" s="271">
        <v>2000</v>
      </c>
    </row>
    <row r="6" spans="1:2" x14ac:dyDescent="0.55000000000000004">
      <c r="A6" t="s">
        <v>324</v>
      </c>
      <c r="B6" s="271">
        <v>7025</v>
      </c>
    </row>
    <row r="7" spans="1:2" x14ac:dyDescent="0.55000000000000004">
      <c r="A7" t="s">
        <v>325</v>
      </c>
      <c r="B7" s="272">
        <v>7025</v>
      </c>
    </row>
    <row r="8" spans="1:2" x14ac:dyDescent="0.55000000000000004">
      <c r="B8" s="271">
        <f>SUM(B4:B7)</f>
        <v>17265.45</v>
      </c>
    </row>
    <row r="9" spans="1:2" s="211" customFormat="1" x14ac:dyDescent="0.55000000000000004">
      <c r="B9" s="271"/>
    </row>
    <row r="10" spans="1:2" x14ac:dyDescent="0.55000000000000004">
      <c r="A10" s="214" t="s">
        <v>328</v>
      </c>
    </row>
    <row r="11" spans="1:2" x14ac:dyDescent="0.55000000000000004">
      <c r="A11" t="s">
        <v>327</v>
      </c>
      <c r="B11" s="271">
        <v>1000</v>
      </c>
    </row>
    <row r="13" spans="1:2" x14ac:dyDescent="0.55000000000000004">
      <c r="A13" s="214" t="s">
        <v>330</v>
      </c>
    </row>
    <row r="14" spans="1:2" x14ac:dyDescent="0.55000000000000004">
      <c r="A14" t="s">
        <v>329</v>
      </c>
      <c r="B14" s="271">
        <v>5450</v>
      </c>
    </row>
    <row r="16" spans="1:2" x14ac:dyDescent="0.55000000000000004">
      <c r="A16" s="214" t="s">
        <v>332</v>
      </c>
    </row>
    <row r="17" spans="1:2" x14ac:dyDescent="0.55000000000000004">
      <c r="A17" t="s">
        <v>331</v>
      </c>
      <c r="B17" s="271">
        <v>525</v>
      </c>
    </row>
    <row r="19" spans="1:2" x14ac:dyDescent="0.55000000000000004">
      <c r="A19" s="214" t="s">
        <v>335</v>
      </c>
    </row>
    <row r="20" spans="1:2" x14ac:dyDescent="0.55000000000000004">
      <c r="A20" t="s">
        <v>301</v>
      </c>
      <c r="B20" s="271">
        <v>330</v>
      </c>
    </row>
    <row r="22" spans="1:2" x14ac:dyDescent="0.55000000000000004">
      <c r="A22" s="214" t="s">
        <v>336</v>
      </c>
    </row>
    <row r="23" spans="1:2" x14ac:dyDescent="0.55000000000000004">
      <c r="A23" t="s">
        <v>333</v>
      </c>
      <c r="B23" s="271">
        <v>36050</v>
      </c>
    </row>
    <row r="24" spans="1:2" x14ac:dyDescent="0.55000000000000004">
      <c r="A24" t="s">
        <v>334</v>
      </c>
      <c r="B24" s="272">
        <v>62</v>
      </c>
    </row>
    <row r="25" spans="1:2" x14ac:dyDescent="0.55000000000000004">
      <c r="B25" s="271">
        <f>SUM(B23:B24)</f>
        <v>36112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4" workbookViewId="0">
      <selection activeCell="A23" sqref="A23"/>
    </sheetView>
  </sheetViews>
  <sheetFormatPr defaultRowHeight="14.4" x14ac:dyDescent="0.55000000000000004"/>
  <cols>
    <col min="1" max="1" width="65.15625" bestFit="1" customWidth="1"/>
    <col min="3" max="4" width="9.15625" style="211"/>
    <col min="7" max="7" width="18.578125" bestFit="1" customWidth="1"/>
  </cols>
  <sheetData>
    <row r="1" spans="1:5" x14ac:dyDescent="0.55000000000000004">
      <c r="A1" s="233" t="s">
        <v>247</v>
      </c>
    </row>
    <row r="4" spans="1:5" x14ac:dyDescent="0.55000000000000004">
      <c r="A4" s="233" t="s">
        <v>248</v>
      </c>
    </row>
    <row r="5" spans="1:5" x14ac:dyDescent="0.55000000000000004">
      <c r="A5" t="s">
        <v>249</v>
      </c>
      <c r="B5" s="238">
        <v>40000</v>
      </c>
      <c r="C5" s="250" t="s">
        <v>290</v>
      </c>
      <c r="D5" s="250"/>
    </row>
    <row r="6" spans="1:5" x14ac:dyDescent="0.55000000000000004">
      <c r="B6" s="254">
        <f>SUM(B5:B5)</f>
        <v>40000</v>
      </c>
      <c r="C6" s="237"/>
      <c r="D6" s="237"/>
    </row>
    <row r="7" spans="1:5" x14ac:dyDescent="0.55000000000000004">
      <c r="B7" s="237"/>
      <c r="C7" s="237"/>
      <c r="D7" s="237"/>
    </row>
    <row r="8" spans="1:5" x14ac:dyDescent="0.55000000000000004">
      <c r="A8" s="233" t="s">
        <v>250</v>
      </c>
      <c r="B8" s="237"/>
      <c r="C8" s="237"/>
      <c r="D8" s="237"/>
    </row>
    <row r="9" spans="1:5" x14ac:dyDescent="0.55000000000000004">
      <c r="A9" t="s">
        <v>251</v>
      </c>
      <c r="B9" s="256">
        <v>-257</v>
      </c>
      <c r="C9" s="237" t="s">
        <v>165</v>
      </c>
      <c r="D9" s="237" t="s">
        <v>70</v>
      </c>
    </row>
    <row r="10" spans="1:5" s="211" customFormat="1" x14ac:dyDescent="0.55000000000000004">
      <c r="A10" s="211" t="s">
        <v>253</v>
      </c>
      <c r="B10" s="256">
        <v>-10000</v>
      </c>
      <c r="C10" s="237" t="s">
        <v>165</v>
      </c>
      <c r="D10" s="237" t="s">
        <v>70</v>
      </c>
      <c r="E10" s="211" t="s">
        <v>261</v>
      </c>
    </row>
    <row r="11" spans="1:5" x14ac:dyDescent="0.55000000000000004">
      <c r="A11" t="s">
        <v>252</v>
      </c>
      <c r="B11" s="256">
        <f>'Live C030'!AB7+'Live C030'!AB5</f>
        <v>-2314</v>
      </c>
      <c r="C11" s="237" t="s">
        <v>263</v>
      </c>
      <c r="D11" s="237" t="s">
        <v>317</v>
      </c>
      <c r="E11" t="s">
        <v>312</v>
      </c>
    </row>
    <row r="12" spans="1:5" s="211" customFormat="1" x14ac:dyDescent="0.55000000000000004">
      <c r="A12" s="211" t="s">
        <v>306</v>
      </c>
      <c r="B12" s="256">
        <f>'RIBA C042'!Z12</f>
        <v>-18528</v>
      </c>
      <c r="C12" s="237" t="s">
        <v>168</v>
      </c>
      <c r="D12" s="237" t="s">
        <v>70</v>
      </c>
    </row>
    <row r="13" spans="1:5" s="211" customFormat="1" ht="13.5" customHeight="1" x14ac:dyDescent="0.55000000000000004">
      <c r="A13" s="211" t="s">
        <v>289</v>
      </c>
      <c r="B13" s="256">
        <v>4247</v>
      </c>
      <c r="C13" s="237" t="s">
        <v>171</v>
      </c>
      <c r="D13" s="237" t="s">
        <v>70</v>
      </c>
    </row>
    <row r="14" spans="1:5" s="211" customFormat="1" x14ac:dyDescent="0.55000000000000004">
      <c r="A14" s="211" t="s">
        <v>281</v>
      </c>
      <c r="B14" s="257">
        <f>'HSAD Bob C038'!AA10</f>
        <v>-1145</v>
      </c>
      <c r="C14" s="250" t="s">
        <v>167</v>
      </c>
      <c r="D14" s="237" t="s">
        <v>70</v>
      </c>
    </row>
    <row r="15" spans="1:5" x14ac:dyDescent="0.55000000000000004">
      <c r="B15" s="259">
        <f>SUM(B9:B14)</f>
        <v>-27997</v>
      </c>
      <c r="C15" s="237"/>
      <c r="D15" s="237"/>
    </row>
    <row r="16" spans="1:5" x14ac:dyDescent="0.55000000000000004">
      <c r="B16" s="256"/>
      <c r="C16" s="237"/>
      <c r="D16" s="237"/>
    </row>
    <row r="17" spans="1:11" x14ac:dyDescent="0.55000000000000004">
      <c r="A17" t="s">
        <v>254</v>
      </c>
      <c r="B17" s="256">
        <f>B6+B15</f>
        <v>12003</v>
      </c>
      <c r="C17" s="237"/>
      <c r="D17" s="237"/>
      <c r="G17" s="215">
        <f>(40000-B17)-Summary!W26</f>
        <v>-0.33000000007450581</v>
      </c>
      <c r="H17" s="211"/>
      <c r="I17" s="211"/>
      <c r="J17" s="211"/>
      <c r="K17" s="211"/>
    </row>
    <row r="18" spans="1:11" x14ac:dyDescent="0.55000000000000004">
      <c r="B18" s="256"/>
      <c r="C18" s="237"/>
      <c r="D18" s="237"/>
      <c r="H18" s="211"/>
      <c r="I18" s="211"/>
      <c r="J18" s="211"/>
      <c r="K18" s="211"/>
    </row>
    <row r="19" spans="1:11" s="211" customFormat="1" x14ac:dyDescent="0.55000000000000004">
      <c r="A19" s="211" t="s">
        <v>347</v>
      </c>
      <c r="B19" s="256">
        <v>1000</v>
      </c>
      <c r="C19" s="237"/>
      <c r="D19" s="237"/>
    </row>
    <row r="20" spans="1:11" x14ac:dyDescent="0.55000000000000004">
      <c r="A20" t="s">
        <v>348</v>
      </c>
      <c r="B20" s="256">
        <v>3135</v>
      </c>
      <c r="C20" s="237"/>
      <c r="D20" s="237"/>
      <c r="G20" s="211"/>
      <c r="H20" s="211"/>
      <c r="I20" s="211"/>
      <c r="J20" s="211"/>
      <c r="K20" s="211"/>
    </row>
    <row r="21" spans="1:11" x14ac:dyDescent="0.55000000000000004">
      <c r="B21" s="256"/>
      <c r="C21" s="237"/>
      <c r="D21" s="237"/>
      <c r="G21" s="211"/>
      <c r="H21" s="211"/>
      <c r="I21" s="211"/>
      <c r="J21" s="211"/>
      <c r="K21" s="211"/>
    </row>
    <row r="22" spans="1:11" x14ac:dyDescent="0.55000000000000004">
      <c r="A22" t="s">
        <v>349</v>
      </c>
      <c r="B22" s="256"/>
      <c r="C22" s="237"/>
      <c r="D22" s="237"/>
      <c r="G22" s="211"/>
      <c r="H22" s="211"/>
      <c r="I22" s="211"/>
      <c r="J22" s="237"/>
      <c r="K22" s="211"/>
    </row>
    <row r="23" spans="1:11" x14ac:dyDescent="0.55000000000000004">
      <c r="B23" s="256"/>
      <c r="C23" s="237"/>
      <c r="D23" s="237"/>
      <c r="G23" s="211"/>
      <c r="H23" s="211"/>
      <c r="I23" s="211"/>
      <c r="J23" s="211"/>
      <c r="K23" s="211"/>
    </row>
    <row r="24" spans="1:11" x14ac:dyDescent="0.55000000000000004">
      <c r="B24" s="256"/>
      <c r="C24" s="237"/>
      <c r="D24" s="237"/>
      <c r="G24" s="211"/>
    </row>
    <row r="25" spans="1:11" x14ac:dyDescent="0.55000000000000004">
      <c r="B25" s="135"/>
      <c r="G25" s="211"/>
    </row>
    <row r="26" spans="1:11" x14ac:dyDescent="0.55000000000000004">
      <c r="B26" s="135"/>
      <c r="G26" s="211"/>
    </row>
    <row r="27" spans="1:11" x14ac:dyDescent="0.55000000000000004">
      <c r="B27" s="1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38"/>
  <sheetViews>
    <sheetView topLeftCell="A16" workbookViewId="0">
      <selection activeCell="Y25" sqref="Y25:Y26"/>
    </sheetView>
  </sheetViews>
  <sheetFormatPr defaultRowHeight="14.4" x14ac:dyDescent="0.55000000000000004"/>
  <cols>
    <col min="1" max="1" width="17.41796875" customWidth="1"/>
    <col min="2" max="2" width="6" customWidth="1"/>
    <col min="3" max="3" width="19.578125" customWidth="1"/>
    <col min="4" max="4" width="9" customWidth="1"/>
    <col min="5" max="5" width="7.26171875" customWidth="1"/>
    <col min="6" max="6" width="0.83984375" customWidth="1"/>
    <col min="7" max="8" width="8.15625" customWidth="1"/>
    <col min="9" max="9" width="0.83984375" customWidth="1"/>
    <col min="10" max="10" width="7" hidden="1" customWidth="1"/>
    <col min="11" max="11" width="6.41796875" hidden="1" customWidth="1"/>
    <col min="12" max="12" width="6.578125" hidden="1" customWidth="1"/>
    <col min="13" max="13" width="7" hidden="1" customWidth="1"/>
    <col min="14" max="14" width="6.578125" hidden="1" customWidth="1"/>
    <col min="15" max="15" width="6.41796875" hidden="1" customWidth="1"/>
    <col min="16" max="16" width="6.68359375" customWidth="1"/>
    <col min="17" max="17" width="7" customWidth="1"/>
    <col min="18" max="18" width="7.15625" customWidth="1"/>
    <col min="19" max="19" width="6.83984375" customWidth="1"/>
    <col min="20" max="20" width="6.41796875" customWidth="1"/>
    <col min="21" max="21" width="7.41796875" customWidth="1"/>
    <col min="22" max="23" width="7.15625" customWidth="1"/>
    <col min="24" max="24" width="7.83984375" customWidth="1"/>
    <col min="25" max="25" width="10.15625" customWidth="1"/>
    <col min="29" max="29" width="1.26171875" customWidth="1"/>
  </cols>
  <sheetData>
    <row r="1" spans="1:38" ht="12" customHeight="1" x14ac:dyDescent="0.55000000000000004">
      <c r="A1" s="9" t="s">
        <v>0</v>
      </c>
      <c r="B1" s="9"/>
      <c r="C1" s="9"/>
      <c r="X1" s="211"/>
    </row>
    <row r="2" spans="1:38" s="10" customFormat="1" x14ac:dyDescent="0.55000000000000004">
      <c r="A2" s="9"/>
      <c r="B2" s="9"/>
      <c r="C2" s="9"/>
      <c r="D2" s="2"/>
      <c r="E2" s="2"/>
      <c r="F2" s="2"/>
      <c r="G2" s="2"/>
      <c r="H2" s="2"/>
      <c r="I2" s="2"/>
      <c r="J2" s="150">
        <v>2016</v>
      </c>
      <c r="K2" s="276">
        <v>2017</v>
      </c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150">
        <v>2018</v>
      </c>
      <c r="X2" s="242"/>
      <c r="Z2" s="172" t="s">
        <v>151</v>
      </c>
    </row>
    <row r="3" spans="1:38" s="10" customFormat="1" x14ac:dyDescent="0.55000000000000004">
      <c r="A3" s="11"/>
      <c r="B3" s="11"/>
      <c r="C3" s="11"/>
      <c r="D3" s="4" t="s">
        <v>2</v>
      </c>
      <c r="E3" s="4" t="s">
        <v>3</v>
      </c>
      <c r="F3" s="62"/>
      <c r="G3" s="4" t="s">
        <v>70</v>
      </c>
      <c r="H3" s="4" t="s">
        <v>144</v>
      </c>
      <c r="I3" s="62"/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4</v>
      </c>
      <c r="P3" s="9" t="s">
        <v>5</v>
      </c>
      <c r="Q3" s="9" t="s">
        <v>6</v>
      </c>
      <c r="R3" s="9" t="s">
        <v>7</v>
      </c>
      <c r="S3" s="9" t="s">
        <v>8</v>
      </c>
      <c r="T3" s="9" t="s">
        <v>9</v>
      </c>
      <c r="U3" s="9" t="s">
        <v>10</v>
      </c>
      <c r="V3" s="9" t="s">
        <v>11</v>
      </c>
      <c r="W3" s="9" t="s">
        <v>12</v>
      </c>
      <c r="X3" s="217" t="s">
        <v>13</v>
      </c>
      <c r="Y3" s="9" t="s">
        <v>68</v>
      </c>
      <c r="Z3" s="172" t="s">
        <v>150</v>
      </c>
    </row>
    <row r="4" spans="1:38" ht="16.5" customHeight="1" x14ac:dyDescent="0.55000000000000004">
      <c r="A4" s="1" t="s">
        <v>146</v>
      </c>
      <c r="B4" s="1"/>
      <c r="C4" s="1"/>
      <c r="D4" s="1">
        <f>192000+2595-1500</f>
        <v>193095</v>
      </c>
      <c r="E4" s="1">
        <v>7500</v>
      </c>
      <c r="F4" s="45"/>
      <c r="I4" s="45"/>
      <c r="X4" s="211"/>
    </row>
    <row r="5" spans="1:38" x14ac:dyDescent="0.55000000000000004">
      <c r="A5" t="s">
        <v>34</v>
      </c>
      <c r="B5" t="s">
        <v>145</v>
      </c>
      <c r="C5" t="s">
        <v>95</v>
      </c>
      <c r="D5" s="126">
        <f>2292-601+271</f>
        <v>1962</v>
      </c>
      <c r="E5" s="126"/>
      <c r="F5" s="116"/>
      <c r="G5" s="203">
        <v>1962</v>
      </c>
      <c r="H5" s="10"/>
      <c r="I5" s="116"/>
      <c r="J5" s="10"/>
      <c r="K5" s="10"/>
      <c r="L5" s="126">
        <f>642-642</f>
        <v>0</v>
      </c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>
        <f>J5+K5+L5+M5+N5+O5+P5+Q5+R5+S5+T5+U5+V5+W5</f>
        <v>0</v>
      </c>
      <c r="Z5" s="126">
        <f>D5-G5</f>
        <v>0</v>
      </c>
      <c r="AB5" s="10">
        <f>Z5-Y5</f>
        <v>0</v>
      </c>
      <c r="AD5" s="6"/>
    </row>
    <row r="6" spans="1:38" x14ac:dyDescent="0.55000000000000004">
      <c r="A6" t="s">
        <v>152</v>
      </c>
      <c r="B6" t="s">
        <v>145</v>
      </c>
      <c r="C6" t="s">
        <v>153</v>
      </c>
      <c r="D6" s="126">
        <v>150</v>
      </c>
      <c r="E6" s="126"/>
      <c r="F6" s="116"/>
      <c r="G6" s="203">
        <v>150</v>
      </c>
      <c r="H6" s="10"/>
      <c r="I6" s="116"/>
      <c r="J6" s="10"/>
      <c r="K6" s="10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>
        <f>J6+K6+L6+M6+N6+O6+P6+Q6+R6+S6+T6+U6+V6+W6</f>
        <v>0</v>
      </c>
      <c r="Z6" s="126">
        <f>D6-G6</f>
        <v>0</v>
      </c>
      <c r="AB6" s="10">
        <f t="shared" ref="AB6:AB10" si="0">Z6-Y6</f>
        <v>0</v>
      </c>
    </row>
    <row r="7" spans="1:38" x14ac:dyDescent="0.55000000000000004">
      <c r="A7" t="s">
        <v>40</v>
      </c>
      <c r="B7" t="s">
        <v>98</v>
      </c>
      <c r="C7" t="s">
        <v>96</v>
      </c>
      <c r="D7" s="265">
        <f>Summary!F18</f>
        <v>174101</v>
      </c>
      <c r="E7" s="126">
        <f>Summary!G18</f>
        <v>7500</v>
      </c>
      <c r="F7" s="116"/>
      <c r="G7" s="203">
        <v>173480</v>
      </c>
      <c r="H7" s="10">
        <v>10435</v>
      </c>
      <c r="I7" s="116"/>
      <c r="J7" s="10"/>
      <c r="K7" s="10"/>
      <c r="L7" s="126">
        <f>13491-13491</f>
        <v>0</v>
      </c>
      <c r="M7" s="126"/>
      <c r="N7" s="126"/>
      <c r="O7" s="126"/>
      <c r="P7" s="126"/>
      <c r="Q7" s="126"/>
      <c r="R7" s="126"/>
      <c r="S7" s="126"/>
      <c r="T7" s="126">
        <f>11029-3375-3375-4279</f>
        <v>0</v>
      </c>
      <c r="U7" s="126">
        <f>8279-3375-3375-314-1215</f>
        <v>0</v>
      </c>
      <c r="V7" s="126">
        <v>1420</v>
      </c>
      <c r="W7" s="126">
        <v>5215</v>
      </c>
      <c r="X7" s="126">
        <v>3800</v>
      </c>
      <c r="Y7" s="126">
        <f>J7+K7+L7+M7+N7+O7+P7+Q7+R7+S7+T7+U7+V7+W7+X7</f>
        <v>10435</v>
      </c>
      <c r="Z7" s="126">
        <f>D7+E7-G7</f>
        <v>8121</v>
      </c>
      <c r="AB7" s="10">
        <f t="shared" si="0"/>
        <v>-2314</v>
      </c>
      <c r="AD7" s="137" t="s">
        <v>215</v>
      </c>
      <c r="AH7" s="211"/>
      <c r="AI7" s="211"/>
      <c r="AJ7" s="211"/>
      <c r="AK7" s="211"/>
      <c r="AL7" s="211"/>
    </row>
    <row r="8" spans="1:38" x14ac:dyDescent="0.55000000000000004">
      <c r="A8" t="s">
        <v>33</v>
      </c>
      <c r="B8" t="s">
        <v>97</v>
      </c>
      <c r="C8" t="s">
        <v>94</v>
      </c>
      <c r="D8" s="126">
        <f>Summary!F21</f>
        <v>0</v>
      </c>
      <c r="E8" s="126"/>
      <c r="F8" s="116"/>
      <c r="G8" s="126"/>
      <c r="H8" s="10"/>
      <c r="I8" s="116"/>
      <c r="J8" s="10"/>
      <c r="K8" s="10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>
        <f>J8+K8+L8+M8+N8+O8+P8+Q8+R8+S8+T8+U8+V8+W8</f>
        <v>0</v>
      </c>
      <c r="Z8" s="126">
        <f>D8-G8</f>
        <v>0</v>
      </c>
      <c r="AB8" s="10">
        <f t="shared" si="0"/>
        <v>0</v>
      </c>
      <c r="AD8" s="137" t="s">
        <v>299</v>
      </c>
      <c r="AK8" s="211"/>
      <c r="AL8" s="211"/>
    </row>
    <row r="9" spans="1:38" x14ac:dyDescent="0.55000000000000004">
      <c r="A9" t="s">
        <v>44</v>
      </c>
      <c r="B9" t="s">
        <v>99</v>
      </c>
      <c r="C9" t="s">
        <v>93</v>
      </c>
      <c r="D9" s="265">
        <f>Summary!F20</f>
        <v>14250</v>
      </c>
      <c r="E9" s="126"/>
      <c r="F9" s="116"/>
      <c r="G9" s="203">
        <f>14090+160</f>
        <v>14250</v>
      </c>
      <c r="H9" s="10"/>
      <c r="I9" s="116"/>
      <c r="J9" s="10"/>
      <c r="K9" s="10"/>
      <c r="L9" s="126">
        <f>240+160-240-160</f>
        <v>0</v>
      </c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>
        <f>J9+K9+L9+M9+N9+O9+P9+Q9+R9+S9+T9+U9+V9+W9</f>
        <v>0</v>
      </c>
      <c r="Z9" s="126">
        <f>D9-G9</f>
        <v>0</v>
      </c>
      <c r="AB9" s="10">
        <f t="shared" si="0"/>
        <v>0</v>
      </c>
      <c r="AD9" s="145" t="s">
        <v>339</v>
      </c>
      <c r="AK9" s="211"/>
      <c r="AL9" s="211"/>
    </row>
    <row r="10" spans="1:38" x14ac:dyDescent="0.55000000000000004">
      <c r="A10" t="s">
        <v>181</v>
      </c>
      <c r="B10" t="s">
        <v>182</v>
      </c>
      <c r="C10" t="s">
        <v>183</v>
      </c>
      <c r="D10" s="126">
        <v>58.33</v>
      </c>
      <c r="E10" s="126"/>
      <c r="F10" s="116"/>
      <c r="G10" s="203">
        <f>58.33</f>
        <v>58.33</v>
      </c>
      <c r="H10" s="10"/>
      <c r="I10" s="116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215"/>
      <c r="Y10" s="10">
        <f>J10+K10+L10+M10+N10+O10+P10+Q10+R10+S10+T10+U10+V10+W10</f>
        <v>0</v>
      </c>
      <c r="Z10" s="10">
        <f>D10-G10</f>
        <v>0</v>
      </c>
      <c r="AB10" s="10">
        <f t="shared" si="0"/>
        <v>0</v>
      </c>
    </row>
    <row r="11" spans="1:38" ht="14.7" thickBot="1" x14ac:dyDescent="0.6">
      <c r="A11" s="159" t="s">
        <v>57</v>
      </c>
      <c r="B11" s="1"/>
      <c r="C11" s="1"/>
      <c r="D11" s="113">
        <f>D4+E4</f>
        <v>200595</v>
      </c>
      <c r="E11" s="160"/>
      <c r="F11" s="161"/>
      <c r="G11" s="113">
        <f>SUM(G5:G10)</f>
        <v>189900.33</v>
      </c>
      <c r="H11" s="113">
        <f>SUM(H5:H10)</f>
        <v>10435</v>
      </c>
      <c r="I11" s="161"/>
      <c r="J11" s="113">
        <f>SUM(J5:J10)</f>
        <v>0</v>
      </c>
      <c r="K11" s="113">
        <f>SUM(K7:K10)</f>
        <v>0</v>
      </c>
      <c r="L11" s="113">
        <f t="shared" ref="L11:Z11" si="1">SUM(L5:L10)</f>
        <v>0</v>
      </c>
      <c r="M11" s="113">
        <f t="shared" si="1"/>
        <v>0</v>
      </c>
      <c r="N11" s="113">
        <f t="shared" si="1"/>
        <v>0</v>
      </c>
      <c r="O11" s="212">
        <f t="shared" si="1"/>
        <v>0</v>
      </c>
      <c r="P11" s="113">
        <f t="shared" si="1"/>
        <v>0</v>
      </c>
      <c r="Q11" s="113">
        <f t="shared" si="1"/>
        <v>0</v>
      </c>
      <c r="R11" s="113">
        <f t="shared" si="1"/>
        <v>0</v>
      </c>
      <c r="S11" s="113">
        <f t="shared" si="1"/>
        <v>0</v>
      </c>
      <c r="T11" s="113">
        <f t="shared" si="1"/>
        <v>0</v>
      </c>
      <c r="U11" s="113">
        <f t="shared" si="1"/>
        <v>0</v>
      </c>
      <c r="V11" s="113">
        <f t="shared" si="1"/>
        <v>1420</v>
      </c>
      <c r="W11" s="113">
        <f t="shared" si="1"/>
        <v>5215</v>
      </c>
      <c r="X11" s="212">
        <f t="shared" si="1"/>
        <v>3800</v>
      </c>
      <c r="Y11" s="113">
        <f t="shared" si="1"/>
        <v>10435</v>
      </c>
      <c r="Z11" s="113">
        <f t="shared" si="1"/>
        <v>8121</v>
      </c>
    </row>
    <row r="12" spans="1:38" ht="15" thickTop="1" thickBot="1" x14ac:dyDescent="0.6">
      <c r="A12" s="1"/>
      <c r="B12" s="1"/>
      <c r="C12" s="1"/>
      <c r="D12" s="9"/>
      <c r="E12" s="162"/>
      <c r="F12" s="162"/>
      <c r="G12" s="162"/>
      <c r="H12" s="162"/>
      <c r="I12" s="162"/>
      <c r="J12" s="126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38" x14ac:dyDescent="0.55000000000000004">
      <c r="D13" s="10"/>
      <c r="E13" s="199"/>
      <c r="F13" s="200"/>
      <c r="G13" s="193">
        <f>Z11+G11</f>
        <v>198021.33</v>
      </c>
      <c r="H13" s="126"/>
      <c r="I13" s="126"/>
      <c r="J13" s="126"/>
      <c r="K13" s="10"/>
      <c r="L13" s="10"/>
      <c r="M13" s="10"/>
      <c r="N13" s="10"/>
      <c r="O13" s="10"/>
      <c r="P13" s="10"/>
      <c r="Q13" s="10" t="s">
        <v>280</v>
      </c>
      <c r="R13" s="10"/>
      <c r="S13" s="10"/>
      <c r="T13" s="10"/>
      <c r="U13" s="10"/>
      <c r="V13" s="10"/>
      <c r="W13" s="10"/>
      <c r="X13" s="10"/>
    </row>
    <row r="14" spans="1:38" x14ac:dyDescent="0.55000000000000004">
      <c r="E14" s="194"/>
      <c r="F14" s="201"/>
      <c r="G14" s="195">
        <f>G11+Y11</f>
        <v>200335.33</v>
      </c>
      <c r="H14" s="126"/>
      <c r="I14" s="135"/>
      <c r="J14" s="135"/>
      <c r="K14" s="135"/>
      <c r="L14" s="135"/>
      <c r="M14" s="135"/>
      <c r="Q14" s="215"/>
      <c r="R14" s="215"/>
      <c r="S14" s="215"/>
      <c r="T14" s="215"/>
      <c r="U14" s="215"/>
      <c r="V14" s="215"/>
      <c r="W14" s="215"/>
      <c r="X14" s="215"/>
      <c r="Y14" s="211"/>
      <c r="Z14" s="211"/>
      <c r="AE14" s="211"/>
    </row>
    <row r="15" spans="1:38" x14ac:dyDescent="0.55000000000000004">
      <c r="A15" s="3"/>
      <c r="B15" s="3"/>
      <c r="C15" s="3"/>
      <c r="E15" s="194"/>
      <c r="F15" s="201"/>
      <c r="G15" s="195"/>
      <c r="H15" s="126"/>
      <c r="I15" s="135"/>
      <c r="J15" s="126"/>
      <c r="K15" s="135"/>
      <c r="L15" s="135"/>
      <c r="M15" s="135"/>
      <c r="Q15" s="183"/>
      <c r="R15" s="215"/>
      <c r="S15" s="215"/>
      <c r="T15" s="215"/>
      <c r="U15" s="215"/>
      <c r="V15" s="215"/>
      <c r="W15" s="215"/>
      <c r="X15" s="215"/>
      <c r="Y15" s="215"/>
      <c r="Z15" s="211"/>
    </row>
    <row r="16" spans="1:38" ht="14.7" thickBot="1" x14ac:dyDescent="0.6">
      <c r="D16" s="10"/>
      <c r="E16" s="196" t="s">
        <v>207</v>
      </c>
      <c r="F16" s="202"/>
      <c r="G16" s="197">
        <f>G13-G14</f>
        <v>-2314</v>
      </c>
      <c r="H16" s="126"/>
      <c r="I16" s="135"/>
      <c r="J16" s="127"/>
      <c r="K16" s="127"/>
      <c r="L16" s="127"/>
      <c r="M16" s="127"/>
      <c r="N16" s="151"/>
      <c r="O16" s="211"/>
      <c r="P16" s="211"/>
      <c r="Q16" s="215"/>
      <c r="R16" s="215"/>
      <c r="S16" s="215"/>
      <c r="T16" s="215"/>
      <c r="U16" s="215"/>
      <c r="V16" s="215"/>
      <c r="W16" s="215"/>
      <c r="X16" s="215"/>
      <c r="Y16" s="215"/>
      <c r="Z16" s="211"/>
      <c r="AG16" s="211"/>
    </row>
    <row r="17" spans="3:37" x14ac:dyDescent="0.55000000000000004">
      <c r="G17" s="126"/>
      <c r="J17" s="151"/>
      <c r="K17" s="127"/>
      <c r="L17" s="127"/>
      <c r="M17" s="127"/>
      <c r="N17" s="127"/>
      <c r="O17" s="211"/>
      <c r="P17" s="211"/>
      <c r="Q17" s="215"/>
      <c r="R17" s="215"/>
      <c r="S17" s="215"/>
      <c r="T17" s="215"/>
      <c r="U17" s="215"/>
      <c r="V17" s="215"/>
      <c r="W17" s="215"/>
      <c r="X17" s="215"/>
      <c r="Y17" s="215"/>
      <c r="Z17" s="211"/>
      <c r="AG17" s="211"/>
    </row>
    <row r="18" spans="3:37" x14ac:dyDescent="0.55000000000000004">
      <c r="J18" s="135"/>
      <c r="K18" s="135"/>
      <c r="L18" s="135"/>
      <c r="M18" s="135"/>
      <c r="N18" s="126"/>
      <c r="O18" s="211"/>
      <c r="P18" s="211"/>
      <c r="Q18" s="215"/>
      <c r="R18" s="215"/>
      <c r="S18" s="215"/>
      <c r="T18" s="215"/>
      <c r="U18" s="215"/>
      <c r="V18" s="215"/>
      <c r="W18" s="215"/>
      <c r="X18" s="215"/>
      <c r="Y18" s="215"/>
      <c r="Z18" s="211"/>
      <c r="AD18" s="215"/>
      <c r="AG18" s="211"/>
    </row>
    <row r="19" spans="3:37" x14ac:dyDescent="0.55000000000000004">
      <c r="D19" s="211"/>
      <c r="G19" s="215"/>
      <c r="O19" s="211"/>
      <c r="P19" s="211"/>
      <c r="Q19" s="215"/>
      <c r="R19" s="215"/>
      <c r="S19" s="215"/>
      <c r="T19" s="215"/>
      <c r="U19" s="215"/>
      <c r="V19" s="215"/>
      <c r="W19" s="215"/>
      <c r="X19" s="215"/>
      <c r="Y19" s="211"/>
      <c r="Z19" s="211"/>
      <c r="AG19" s="211"/>
    </row>
    <row r="20" spans="3:37" s="211" customFormat="1" x14ac:dyDescent="0.55000000000000004">
      <c r="G20" s="215"/>
      <c r="Q20" s="215"/>
      <c r="R20" s="215"/>
      <c r="S20" s="215"/>
      <c r="T20" s="215"/>
      <c r="U20" s="215"/>
      <c r="V20" s="215"/>
      <c r="W20" s="215"/>
      <c r="X20" s="215"/>
    </row>
    <row r="21" spans="3:37" x14ac:dyDescent="0.55000000000000004">
      <c r="D21" s="211"/>
      <c r="P21" s="211"/>
      <c r="Q21" s="215"/>
      <c r="R21" s="215"/>
      <c r="S21" s="215"/>
      <c r="T21" s="215"/>
      <c r="U21" s="215"/>
      <c r="V21" s="215"/>
      <c r="W21" s="215"/>
      <c r="X21" s="215"/>
      <c r="Y21" s="211"/>
      <c r="Z21" s="211"/>
      <c r="AB21" s="211"/>
    </row>
    <row r="22" spans="3:37" x14ac:dyDescent="0.55000000000000004">
      <c r="G22" s="211"/>
      <c r="H22" s="241" t="s">
        <v>274</v>
      </c>
      <c r="Q22" s="215">
        <f>4125-4125</f>
        <v>0</v>
      </c>
      <c r="R22" s="215">
        <f>4125-4125</f>
        <v>0</v>
      </c>
      <c r="S22" s="215"/>
      <c r="T22" s="215">
        <f t="shared" ref="T22:V23" si="2">3375-3375</f>
        <v>0</v>
      </c>
      <c r="U22" s="215">
        <f t="shared" si="2"/>
        <v>0</v>
      </c>
      <c r="V22" s="215">
        <f t="shared" si="2"/>
        <v>0</v>
      </c>
      <c r="W22" s="215">
        <v>1750</v>
      </c>
      <c r="X22" s="215">
        <v>1900</v>
      </c>
      <c r="Y22" s="215">
        <f>SUM(Q22:X22)</f>
        <v>3650</v>
      </c>
      <c r="Z22" s="211"/>
      <c r="AF22" s="211"/>
      <c r="AG22" s="211"/>
      <c r="AH22" s="211"/>
    </row>
    <row r="23" spans="3:37" x14ac:dyDescent="0.55000000000000004">
      <c r="G23" s="211"/>
      <c r="H23" s="241" t="s">
        <v>275</v>
      </c>
      <c r="Q23" s="215"/>
      <c r="R23" s="215"/>
      <c r="S23" s="215"/>
      <c r="T23" s="215">
        <f t="shared" si="2"/>
        <v>0</v>
      </c>
      <c r="U23" s="215">
        <f t="shared" si="2"/>
        <v>0</v>
      </c>
      <c r="V23" s="215">
        <f t="shared" si="2"/>
        <v>0</v>
      </c>
      <c r="W23" s="215">
        <v>1750</v>
      </c>
      <c r="X23" s="215">
        <v>1900</v>
      </c>
      <c r="Y23" s="215">
        <f>SUM(Q23:X23)</f>
        <v>3650</v>
      </c>
      <c r="Z23" s="211"/>
      <c r="AA23" s="215"/>
      <c r="AF23" s="211"/>
      <c r="AG23" s="211"/>
      <c r="AH23" s="211"/>
    </row>
    <row r="24" spans="3:37" s="211" customFormat="1" x14ac:dyDescent="0.55000000000000004">
      <c r="H24" s="241" t="s">
        <v>309</v>
      </c>
      <c r="Q24" s="215"/>
      <c r="R24" s="215"/>
      <c r="S24" s="215"/>
      <c r="T24" s="215"/>
      <c r="U24" s="215"/>
      <c r="V24" s="215">
        <f>7500-7500</f>
        <v>0</v>
      </c>
      <c r="W24" s="215"/>
      <c r="X24" s="215"/>
      <c r="Y24" s="215">
        <f>SUM(Q24:X24)</f>
        <v>0</v>
      </c>
      <c r="AA24" s="6"/>
    </row>
    <row r="25" spans="3:37" s="211" customFormat="1" x14ac:dyDescent="0.55000000000000004">
      <c r="H25" s="241" t="s">
        <v>307</v>
      </c>
      <c r="Q25" s="215"/>
      <c r="R25" s="215"/>
      <c r="S25" s="215"/>
      <c r="T25" s="215">
        <f>500-471-29</f>
        <v>0</v>
      </c>
      <c r="U25" s="215">
        <f>500+29-314-215</f>
        <v>0</v>
      </c>
      <c r="V25" s="215">
        <v>500</v>
      </c>
      <c r="W25" s="215">
        <v>715</v>
      </c>
      <c r="X25" s="215"/>
      <c r="Y25" s="215">
        <f>SUM(Q25:X25)</f>
        <v>1215</v>
      </c>
    </row>
    <row r="26" spans="3:37" x14ac:dyDescent="0.55000000000000004">
      <c r="G26" s="211"/>
      <c r="H26" s="241" t="s">
        <v>308</v>
      </c>
      <c r="Q26" s="215"/>
      <c r="R26" s="215"/>
      <c r="S26" s="215"/>
      <c r="T26" s="215">
        <f>500-500</f>
        <v>0</v>
      </c>
      <c r="U26" s="215">
        <f>500+500-1000</f>
        <v>0</v>
      </c>
      <c r="V26" s="215">
        <f>1000-80</f>
        <v>920</v>
      </c>
      <c r="W26" s="215">
        <v>1000</v>
      </c>
      <c r="X26" s="215"/>
      <c r="Y26" s="215">
        <f>SUM(Q26:X26)</f>
        <v>1920</v>
      </c>
      <c r="Z26" s="137"/>
      <c r="AF26" s="255"/>
      <c r="AG26" s="211"/>
      <c r="AH26" s="211"/>
    </row>
    <row r="27" spans="3:37" x14ac:dyDescent="0.55000000000000004">
      <c r="Q27" s="217">
        <f t="shared" ref="Q27:X27" si="3">SUM(Q22:Q26)</f>
        <v>0</v>
      </c>
      <c r="R27" s="217">
        <f t="shared" si="3"/>
        <v>0</v>
      </c>
      <c r="S27" s="217">
        <f t="shared" si="3"/>
        <v>0</v>
      </c>
      <c r="T27" s="217">
        <f t="shared" si="3"/>
        <v>0</v>
      </c>
      <c r="U27" s="217">
        <f t="shared" si="3"/>
        <v>0</v>
      </c>
      <c r="V27" s="217">
        <f t="shared" si="3"/>
        <v>1420</v>
      </c>
      <c r="W27" s="217">
        <f t="shared" si="3"/>
        <v>5215</v>
      </c>
      <c r="X27" s="217">
        <f t="shared" si="3"/>
        <v>3800</v>
      </c>
      <c r="Y27" s="217">
        <f>SUM(Y22:Y26)</f>
        <v>10435</v>
      </c>
      <c r="Z27" s="211"/>
    </row>
    <row r="28" spans="3:37" s="211" customFormat="1" x14ac:dyDescent="0.55000000000000004">
      <c r="Q28" s="217"/>
      <c r="R28" s="217"/>
      <c r="S28" s="217"/>
      <c r="T28" s="217"/>
      <c r="U28" s="217"/>
      <c r="V28" s="217"/>
      <c r="W28" s="217"/>
      <c r="X28" s="217"/>
      <c r="Y28" s="217"/>
    </row>
    <row r="29" spans="3:37" x14ac:dyDescent="0.55000000000000004">
      <c r="Q29" s="215"/>
      <c r="R29" s="215"/>
      <c r="S29" s="215"/>
      <c r="T29" s="215"/>
      <c r="U29" s="215"/>
      <c r="V29" s="215"/>
      <c r="W29" s="215"/>
      <c r="X29" s="215"/>
      <c r="Y29" s="211"/>
      <c r="Z29" s="211"/>
    </row>
    <row r="30" spans="3:37" s="211" customFormat="1" x14ac:dyDescent="0.55000000000000004">
      <c r="E30" s="241"/>
      <c r="H30" s="241"/>
      <c r="Q30" s="215"/>
      <c r="R30" s="215"/>
      <c r="S30" s="215"/>
    </row>
    <row r="31" spans="3:37" s="211" customFormat="1" x14ac:dyDescent="0.55000000000000004">
      <c r="E31" s="241"/>
      <c r="H31" s="241"/>
      <c r="Q31" s="215"/>
      <c r="R31" s="215"/>
      <c r="S31" s="215"/>
    </row>
    <row r="32" spans="3:37" x14ac:dyDescent="0.55000000000000004">
      <c r="C32" s="211"/>
      <c r="D32" s="211"/>
      <c r="E32" s="241"/>
      <c r="F32" s="211"/>
      <c r="G32" s="211"/>
      <c r="H32" s="241"/>
      <c r="I32" s="211"/>
      <c r="J32" s="211"/>
      <c r="K32" s="211"/>
      <c r="L32" s="211"/>
      <c r="M32" s="211"/>
      <c r="N32" s="211"/>
      <c r="O32" s="211"/>
      <c r="P32" s="211"/>
      <c r="Q32" s="215"/>
      <c r="R32" s="215"/>
      <c r="S32" s="215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</row>
    <row r="33" spans="3:37" x14ac:dyDescent="0.55000000000000004">
      <c r="C33" s="211"/>
      <c r="D33" s="211"/>
      <c r="E33" s="241"/>
      <c r="F33" s="211"/>
      <c r="G33" s="211"/>
      <c r="H33" s="241"/>
      <c r="I33" s="211"/>
      <c r="J33" s="211"/>
      <c r="K33" s="211"/>
      <c r="L33" s="211"/>
      <c r="M33" s="211"/>
      <c r="N33" s="211"/>
      <c r="O33" s="211"/>
      <c r="P33" s="211"/>
      <c r="Q33" s="215"/>
      <c r="R33" s="215"/>
      <c r="S33" s="215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</row>
    <row r="34" spans="3:37" x14ac:dyDescent="0.55000000000000004">
      <c r="C34" s="211"/>
      <c r="D34" s="211"/>
      <c r="E34" s="241"/>
      <c r="F34" s="211"/>
      <c r="G34" s="211"/>
      <c r="H34" s="241"/>
      <c r="I34" s="211"/>
      <c r="J34" s="211"/>
      <c r="K34" s="211"/>
      <c r="L34" s="211"/>
      <c r="M34" s="211"/>
      <c r="N34" s="211"/>
      <c r="O34" s="211"/>
      <c r="P34" s="211"/>
      <c r="Q34" s="215"/>
      <c r="R34" s="215"/>
      <c r="S34" s="215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</row>
    <row r="35" spans="3:37" x14ac:dyDescent="0.55000000000000004">
      <c r="C35" s="211"/>
      <c r="D35" s="211"/>
      <c r="E35" s="241"/>
      <c r="F35" s="211"/>
      <c r="G35" s="211"/>
      <c r="H35" s="241"/>
      <c r="I35" s="211"/>
      <c r="J35" s="211"/>
      <c r="K35" s="211"/>
      <c r="L35" s="211"/>
      <c r="M35" s="211"/>
      <c r="N35" s="211"/>
      <c r="O35" s="211"/>
      <c r="P35" s="211"/>
      <c r="Q35" s="215"/>
      <c r="R35" s="215"/>
      <c r="S35" s="215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</row>
    <row r="36" spans="3:37" x14ac:dyDescent="0.55000000000000004">
      <c r="C36" s="211"/>
      <c r="D36" s="211"/>
      <c r="E36" s="241"/>
      <c r="F36" s="211"/>
      <c r="G36" s="211"/>
      <c r="H36" s="241"/>
      <c r="I36" s="211"/>
      <c r="J36" s="211"/>
      <c r="K36" s="211"/>
      <c r="L36" s="211"/>
      <c r="M36" s="211"/>
      <c r="N36" s="211"/>
      <c r="O36" s="211"/>
      <c r="P36" s="211"/>
      <c r="Q36" s="215"/>
      <c r="R36" s="215"/>
      <c r="S36" s="215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</row>
    <row r="37" spans="3:37" x14ac:dyDescent="0.55000000000000004">
      <c r="C37" s="211"/>
      <c r="D37" s="211"/>
      <c r="E37" s="241"/>
      <c r="F37" s="211"/>
      <c r="G37" s="211"/>
      <c r="H37" s="241"/>
      <c r="I37" s="211"/>
      <c r="J37" s="211"/>
      <c r="K37" s="211"/>
      <c r="L37" s="211"/>
      <c r="M37" s="211"/>
      <c r="N37" s="211"/>
      <c r="O37" s="211"/>
      <c r="P37" s="211"/>
      <c r="Q37" s="215"/>
      <c r="R37" s="215"/>
      <c r="S37" s="215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</row>
    <row r="38" spans="3:37" x14ac:dyDescent="0.55000000000000004">
      <c r="C38" s="211"/>
      <c r="D38" s="211"/>
      <c r="E38" s="241"/>
      <c r="F38" s="211"/>
      <c r="G38" s="211"/>
      <c r="H38" s="241"/>
      <c r="I38" s="211"/>
      <c r="J38" s="211"/>
      <c r="K38" s="211"/>
      <c r="L38" s="211"/>
      <c r="M38" s="211"/>
      <c r="N38" s="211"/>
      <c r="O38" s="211"/>
      <c r="P38" s="211"/>
      <c r="Q38" s="215"/>
      <c r="R38" s="215"/>
      <c r="S38" s="215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</row>
  </sheetData>
  <mergeCells count="1">
    <mergeCell ref="K2:V2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2"/>
  <sheetViews>
    <sheetView topLeftCell="A2" zoomScaleNormal="100" workbookViewId="0">
      <selection activeCell="P31" sqref="P31"/>
    </sheetView>
  </sheetViews>
  <sheetFormatPr defaultColWidth="9.15625" defaultRowHeight="14.4" x14ac:dyDescent="0.55000000000000004"/>
  <cols>
    <col min="1" max="1" width="39.68359375" style="10" customWidth="1"/>
    <col min="2" max="2" width="5.83984375" style="10" customWidth="1"/>
    <col min="3" max="3" width="15.26171875" style="10" customWidth="1"/>
    <col min="4" max="4" width="8" style="10" customWidth="1"/>
    <col min="5" max="5" width="8.26171875" style="10" customWidth="1"/>
    <col min="6" max="6" width="1" style="10" customWidth="1"/>
    <col min="7" max="8" width="8.26171875" style="10" customWidth="1"/>
    <col min="9" max="9" width="1.15625" style="10" customWidth="1"/>
    <col min="10" max="10" width="7.41796875" style="10" hidden="1" customWidth="1"/>
    <col min="11" max="11" width="7.83984375" style="10" hidden="1" customWidth="1"/>
    <col min="12" max="12" width="8.15625" style="10" hidden="1" customWidth="1"/>
    <col min="13" max="13" width="10.15625" style="10" hidden="1" customWidth="1"/>
    <col min="14" max="14" width="6.68359375" style="10" hidden="1" customWidth="1"/>
    <col min="15" max="16" width="5.578125" style="10" bestFit="1" customWidth="1"/>
    <col min="17" max="17" width="3.26171875" style="10" bestFit="1" customWidth="1"/>
    <col min="18" max="18" width="4.15625" style="10" bestFit="1" customWidth="1"/>
    <col min="19" max="19" width="3.578125" style="10" customWidth="1"/>
    <col min="20" max="20" width="3.83984375" style="10" customWidth="1"/>
    <col min="21" max="21" width="4.26171875" style="10" customWidth="1"/>
    <col min="22" max="22" width="4" style="10" customWidth="1"/>
    <col min="23" max="23" width="9.15625" style="10"/>
    <col min="24" max="24" width="10" style="10" customWidth="1"/>
    <col min="25" max="16384" width="9.15625" style="10"/>
  </cols>
  <sheetData>
    <row r="1" spans="1:26" x14ac:dyDescent="0.55000000000000004">
      <c r="A1" s="9" t="s">
        <v>0</v>
      </c>
      <c r="B1" s="9"/>
      <c r="C1" s="9"/>
      <c r="D1" s="2"/>
      <c r="E1" s="2"/>
      <c r="F1" s="2"/>
      <c r="G1" s="2"/>
      <c r="H1" s="2"/>
      <c r="I1" s="2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72" t="s">
        <v>151</v>
      </c>
    </row>
    <row r="2" spans="1:26" x14ac:dyDescent="0.55000000000000004">
      <c r="A2" s="9"/>
      <c r="B2" s="9"/>
      <c r="C2" s="9"/>
      <c r="D2" s="2"/>
      <c r="E2" s="2"/>
      <c r="F2" s="2"/>
      <c r="G2" s="2"/>
      <c r="H2" s="2"/>
      <c r="I2" s="2"/>
      <c r="J2" s="153">
        <v>2016</v>
      </c>
      <c r="K2" s="276">
        <v>2017</v>
      </c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9" t="s">
        <v>19</v>
      </c>
      <c r="X2" s="172" t="s">
        <v>150</v>
      </c>
    </row>
    <row r="3" spans="1:26" x14ac:dyDescent="0.55000000000000004">
      <c r="A3" s="11"/>
      <c r="B3" s="11"/>
      <c r="C3" s="11"/>
      <c r="D3" s="4" t="s">
        <v>2</v>
      </c>
      <c r="E3" s="4" t="s">
        <v>3</v>
      </c>
      <c r="F3" s="62"/>
      <c r="G3" s="4" t="s">
        <v>70</v>
      </c>
      <c r="H3" s="4" t="s">
        <v>144</v>
      </c>
      <c r="I3" s="62"/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142</v>
      </c>
      <c r="P3" s="9" t="s">
        <v>5</v>
      </c>
      <c r="Q3" s="9" t="s">
        <v>6</v>
      </c>
      <c r="R3" s="9" t="s">
        <v>7</v>
      </c>
      <c r="S3" s="9" t="s">
        <v>8</v>
      </c>
      <c r="T3" s="9" t="s">
        <v>9</v>
      </c>
      <c r="U3" s="9" t="s">
        <v>10</v>
      </c>
      <c r="V3" s="9" t="s">
        <v>11</v>
      </c>
      <c r="W3" s="9"/>
      <c r="X3" s="9"/>
    </row>
    <row r="4" spans="1:26" x14ac:dyDescent="0.55000000000000004">
      <c r="A4" s="9" t="s">
        <v>62</v>
      </c>
      <c r="B4" s="9"/>
      <c r="C4" s="9"/>
      <c r="D4" s="9">
        <v>225000</v>
      </c>
      <c r="E4" s="9">
        <v>180000</v>
      </c>
      <c r="F4" s="116"/>
      <c r="I4" s="116"/>
    </row>
    <row r="5" spans="1:26" s="126" customFormat="1" x14ac:dyDescent="0.55000000000000004">
      <c r="A5" s="126" t="s">
        <v>61</v>
      </c>
      <c r="B5" s="126" t="s">
        <v>100</v>
      </c>
      <c r="C5" s="126" t="s">
        <v>90</v>
      </c>
      <c r="D5" s="126">
        <v>3000</v>
      </c>
      <c r="F5" s="116"/>
      <c r="G5" s="126">
        <f>1500+1500</f>
        <v>3000</v>
      </c>
      <c r="I5" s="116"/>
      <c r="W5" s="126">
        <f>SUM(J5:V5)</f>
        <v>0</v>
      </c>
      <c r="X5" s="126">
        <f t="shared" ref="X5:X21" si="0">D5-G5</f>
        <v>0</v>
      </c>
    </row>
    <row r="6" spans="1:26" x14ac:dyDescent="0.55000000000000004">
      <c r="A6" s="126" t="s">
        <v>32</v>
      </c>
      <c r="B6" s="126" t="s">
        <v>100</v>
      </c>
      <c r="C6" s="126" t="s">
        <v>149</v>
      </c>
      <c r="D6" s="126">
        <v>626</v>
      </c>
      <c r="E6" s="126"/>
      <c r="F6" s="116"/>
      <c r="G6" s="126">
        <f>626</f>
        <v>626</v>
      </c>
      <c r="H6" s="126"/>
      <c r="I6" s="11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>
        <f t="shared" ref="W6:W20" si="1">SUM(J6:V6)</f>
        <v>0</v>
      </c>
      <c r="X6" s="126">
        <f t="shared" si="0"/>
        <v>0</v>
      </c>
      <c r="Z6" s="126"/>
    </row>
    <row r="7" spans="1:26" x14ac:dyDescent="0.55000000000000004">
      <c r="A7" s="126" t="s">
        <v>31</v>
      </c>
      <c r="B7" s="126" t="s">
        <v>100</v>
      </c>
      <c r="C7" s="126" t="s">
        <v>92</v>
      </c>
      <c r="D7" s="126">
        <v>17850</v>
      </c>
      <c r="E7" s="126"/>
      <c r="F7" s="116"/>
      <c r="G7" s="126">
        <f>5950+5950+5950</f>
        <v>17850</v>
      </c>
      <c r="H7" s="126"/>
      <c r="I7" s="11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>
        <f t="shared" si="1"/>
        <v>0</v>
      </c>
      <c r="X7" s="126">
        <f t="shared" si="0"/>
        <v>0</v>
      </c>
      <c r="Z7" s="126"/>
    </row>
    <row r="8" spans="1:26" x14ac:dyDescent="0.55000000000000004">
      <c r="A8" s="126" t="s">
        <v>159</v>
      </c>
      <c r="B8" s="126" t="s">
        <v>98</v>
      </c>
      <c r="C8" s="126" t="s">
        <v>158</v>
      </c>
      <c r="D8" s="126">
        <v>13000</v>
      </c>
      <c r="F8" s="116"/>
      <c r="G8" s="126">
        <v>13000</v>
      </c>
      <c r="I8" s="116"/>
      <c r="J8" s="126"/>
      <c r="K8" s="126"/>
      <c r="L8" s="126"/>
      <c r="M8" s="126"/>
      <c r="N8" s="126"/>
      <c r="W8" s="126">
        <f t="shared" si="1"/>
        <v>0</v>
      </c>
      <c r="X8" s="126">
        <f t="shared" si="0"/>
        <v>0</v>
      </c>
      <c r="Z8" s="126"/>
    </row>
    <row r="9" spans="1:26" s="126" customFormat="1" x14ac:dyDescent="0.55000000000000004">
      <c r="A9" s="126" t="s">
        <v>184</v>
      </c>
      <c r="B9" s="126" t="s">
        <v>101</v>
      </c>
      <c r="C9" s="126" t="s">
        <v>102</v>
      </c>
      <c r="D9" s="126">
        <v>50000</v>
      </c>
      <c r="F9" s="116"/>
      <c r="G9" s="126">
        <v>50000</v>
      </c>
      <c r="I9" s="116"/>
      <c r="W9" s="126">
        <f t="shared" si="1"/>
        <v>0</v>
      </c>
      <c r="X9" s="126">
        <f t="shared" si="0"/>
        <v>0</v>
      </c>
    </row>
    <row r="10" spans="1:26" s="126" customFormat="1" x14ac:dyDescent="0.55000000000000004">
      <c r="A10" s="126" t="s">
        <v>209</v>
      </c>
      <c r="C10" s="126" t="s">
        <v>208</v>
      </c>
      <c r="D10" s="126">
        <v>18</v>
      </c>
      <c r="F10" s="116"/>
      <c r="G10" s="126">
        <v>18</v>
      </c>
      <c r="I10" s="116"/>
      <c r="W10" s="126">
        <f t="shared" si="1"/>
        <v>0</v>
      </c>
      <c r="X10" s="126">
        <f t="shared" si="0"/>
        <v>0</v>
      </c>
    </row>
    <row r="11" spans="1:26" s="126" customFormat="1" x14ac:dyDescent="0.55000000000000004">
      <c r="A11" s="126" t="s">
        <v>203</v>
      </c>
      <c r="B11" s="126" t="s">
        <v>101</v>
      </c>
      <c r="C11" s="126" t="s">
        <v>202</v>
      </c>
      <c r="D11" s="126">
        <v>156</v>
      </c>
      <c r="F11" s="116"/>
      <c r="G11" s="126">
        <v>156</v>
      </c>
      <c r="I11" s="116"/>
      <c r="W11" s="126">
        <f t="shared" si="1"/>
        <v>0</v>
      </c>
      <c r="X11" s="126">
        <f t="shared" si="0"/>
        <v>0</v>
      </c>
    </row>
    <row r="12" spans="1:26" x14ac:dyDescent="0.55000000000000004">
      <c r="A12" s="126" t="s">
        <v>176</v>
      </c>
      <c r="B12" s="126" t="s">
        <v>101</v>
      </c>
      <c r="C12" s="126" t="s">
        <v>103</v>
      </c>
      <c r="D12" s="126">
        <v>175000</v>
      </c>
      <c r="F12" s="116"/>
      <c r="G12" s="126">
        <v>185000</v>
      </c>
      <c r="I12" s="116"/>
      <c r="J12" s="126"/>
      <c r="K12" s="126"/>
      <c r="L12" s="126">
        <f>12845-12845</f>
        <v>0</v>
      </c>
      <c r="M12" s="126"/>
      <c r="N12" s="126"/>
      <c r="W12" s="126">
        <f t="shared" si="1"/>
        <v>0</v>
      </c>
      <c r="X12" s="126">
        <f t="shared" si="0"/>
        <v>-10000</v>
      </c>
      <c r="Y12" s="10" t="s">
        <v>276</v>
      </c>
      <c r="Z12" s="126"/>
    </row>
    <row r="13" spans="1:26" x14ac:dyDescent="0.55000000000000004">
      <c r="A13" s="126" t="s">
        <v>179</v>
      </c>
      <c r="B13" s="126" t="s">
        <v>101</v>
      </c>
      <c r="C13" s="126" t="s">
        <v>178</v>
      </c>
      <c r="D13" s="126">
        <f>2948-12-718-18-27-2173</f>
        <v>0</v>
      </c>
      <c r="F13" s="116"/>
      <c r="G13" s="126"/>
      <c r="I13" s="116"/>
      <c r="J13" s="126"/>
      <c r="K13" s="126"/>
      <c r="L13" s="126"/>
      <c r="M13" s="126"/>
      <c r="N13" s="126"/>
      <c r="W13" s="126">
        <f t="shared" si="1"/>
        <v>0</v>
      </c>
      <c r="X13" s="126">
        <f t="shared" si="0"/>
        <v>0</v>
      </c>
      <c r="Y13" s="10" t="s">
        <v>216</v>
      </c>
      <c r="Z13" s="126"/>
    </row>
    <row r="14" spans="1:26" x14ac:dyDescent="0.55000000000000004">
      <c r="A14" s="126" t="s">
        <v>205</v>
      </c>
      <c r="B14" s="126" t="s">
        <v>105</v>
      </c>
      <c r="C14" s="126" t="s">
        <v>204</v>
      </c>
      <c r="D14" s="126">
        <v>12</v>
      </c>
      <c r="F14" s="116"/>
      <c r="G14" s="126">
        <v>12</v>
      </c>
      <c r="I14" s="116"/>
      <c r="J14" s="126"/>
      <c r="K14" s="126"/>
      <c r="L14" s="126"/>
      <c r="M14" s="126"/>
      <c r="N14" s="126"/>
      <c r="W14" s="126">
        <f t="shared" si="1"/>
        <v>0</v>
      </c>
      <c r="X14" s="126">
        <f t="shared" si="0"/>
        <v>0</v>
      </c>
      <c r="Z14" s="126"/>
    </row>
    <row r="15" spans="1:26" x14ac:dyDescent="0.55000000000000004">
      <c r="A15" s="126" t="s">
        <v>177</v>
      </c>
      <c r="B15" s="126" t="s">
        <v>105</v>
      </c>
      <c r="C15" s="126" t="s">
        <v>104</v>
      </c>
      <c r="D15" s="126">
        <v>88920</v>
      </c>
      <c r="F15" s="116"/>
      <c r="G15" s="126">
        <v>88920</v>
      </c>
      <c r="I15" s="116"/>
      <c r="J15" s="126"/>
      <c r="K15" s="126"/>
      <c r="L15" s="126"/>
      <c r="M15" s="126"/>
      <c r="N15" s="126"/>
      <c r="W15" s="126">
        <f t="shared" si="1"/>
        <v>0</v>
      </c>
      <c r="X15" s="126">
        <f t="shared" si="0"/>
        <v>0</v>
      </c>
      <c r="Y15" s="117"/>
      <c r="Z15" s="126"/>
    </row>
    <row r="16" spans="1:26" s="126" customFormat="1" x14ac:dyDescent="0.55000000000000004">
      <c r="A16" s="126" t="s">
        <v>60</v>
      </c>
      <c r="B16" s="126" t="s">
        <v>105</v>
      </c>
      <c r="C16" s="126" t="s">
        <v>106</v>
      </c>
      <c r="D16" s="126">
        <f>45000+8000+2173+500</f>
        <v>55673</v>
      </c>
      <c r="F16" s="116"/>
      <c r="G16" s="126">
        <v>55930</v>
      </c>
      <c r="I16" s="116"/>
      <c r="L16" s="126">
        <f>(1800+1600+2500+2500+2500+2500-36-1291)-(1800+1600+2500+2500+2500+2500-36-1291)</f>
        <v>0</v>
      </c>
      <c r="W16" s="126">
        <f t="shared" si="1"/>
        <v>0</v>
      </c>
      <c r="X16" s="126">
        <f t="shared" si="0"/>
        <v>-257</v>
      </c>
    </row>
    <row r="17" spans="1:26" s="126" customFormat="1" x14ac:dyDescent="0.55000000000000004">
      <c r="A17" s="126" t="s">
        <v>180</v>
      </c>
      <c r="B17" s="126" t="s">
        <v>105</v>
      </c>
      <c r="C17" s="126" t="s">
        <v>106</v>
      </c>
      <c r="D17" s="126">
        <f>8000-8000</f>
        <v>0</v>
      </c>
      <c r="F17" s="116"/>
      <c r="I17" s="116"/>
      <c r="L17" s="126">
        <f>8000-333-8000+333</f>
        <v>0</v>
      </c>
      <c r="W17" s="126">
        <f t="shared" si="1"/>
        <v>0</v>
      </c>
      <c r="X17" s="126">
        <f t="shared" si="0"/>
        <v>0</v>
      </c>
      <c r="Y17" s="10" t="s">
        <v>216</v>
      </c>
    </row>
    <row r="18" spans="1:26" s="126" customFormat="1" x14ac:dyDescent="0.55000000000000004">
      <c r="A18" s="126" t="s">
        <v>212</v>
      </c>
      <c r="B18" s="126" t="s">
        <v>105</v>
      </c>
      <c r="C18" s="126" t="s">
        <v>206</v>
      </c>
      <c r="D18" s="126">
        <v>718</v>
      </c>
      <c r="F18" s="116"/>
      <c r="G18" s="126">
        <v>718</v>
      </c>
      <c r="I18" s="116"/>
      <c r="W18" s="126">
        <f t="shared" si="1"/>
        <v>0</v>
      </c>
      <c r="X18" s="126">
        <f t="shared" si="0"/>
        <v>0</v>
      </c>
    </row>
    <row r="19" spans="1:26" s="126" customFormat="1" x14ac:dyDescent="0.55000000000000004">
      <c r="A19" s="126" t="s">
        <v>65</v>
      </c>
      <c r="B19" s="126" t="s">
        <v>99</v>
      </c>
      <c r="C19" s="126" t="s">
        <v>107</v>
      </c>
      <c r="D19" s="126">
        <f>500-500</f>
        <v>0</v>
      </c>
      <c r="E19" s="10"/>
      <c r="F19" s="116"/>
      <c r="H19" s="10"/>
      <c r="I19" s="116"/>
      <c r="L19" s="126">
        <f>500-500</f>
        <v>0</v>
      </c>
      <c r="O19" s="10"/>
      <c r="P19" s="10"/>
      <c r="Q19" s="10"/>
      <c r="R19" s="10"/>
      <c r="S19" s="10"/>
      <c r="T19" s="10"/>
      <c r="U19" s="10"/>
      <c r="V19" s="10"/>
      <c r="W19" s="126">
        <f t="shared" si="1"/>
        <v>0</v>
      </c>
      <c r="X19" s="126">
        <f t="shared" si="0"/>
        <v>0</v>
      </c>
      <c r="Y19" s="10" t="s">
        <v>216</v>
      </c>
    </row>
    <row r="20" spans="1:26" s="126" customFormat="1" x14ac:dyDescent="0.55000000000000004">
      <c r="A20" s="126" t="s">
        <v>211</v>
      </c>
      <c r="C20" s="204" t="s">
        <v>210</v>
      </c>
      <c r="D20" s="126">
        <v>27</v>
      </c>
      <c r="F20" s="116"/>
      <c r="G20" s="126">
        <f>25+2</f>
        <v>27</v>
      </c>
      <c r="I20" s="116"/>
      <c r="W20" s="126">
        <f t="shared" si="1"/>
        <v>0</v>
      </c>
      <c r="X20" s="126">
        <f t="shared" si="0"/>
        <v>0</v>
      </c>
    </row>
    <row r="21" spans="1:26" s="126" customFormat="1" x14ac:dyDescent="0.55000000000000004">
      <c r="A21" s="206"/>
      <c r="C21" s="205"/>
      <c r="F21" s="116"/>
      <c r="G21" s="10"/>
      <c r="I21" s="116"/>
      <c r="W21" s="126">
        <f t="shared" ref="W21" si="2">SUM(J21:V21)</f>
        <v>0</v>
      </c>
      <c r="X21" s="126">
        <f t="shared" si="0"/>
        <v>0</v>
      </c>
    </row>
    <row r="22" spans="1:26" s="9" customFormat="1" ht="14.7" thickBot="1" x14ac:dyDescent="0.6">
      <c r="A22" s="159" t="s">
        <v>57</v>
      </c>
      <c r="D22" s="113">
        <f>SUM(D5:D21)</f>
        <v>405000</v>
      </c>
      <c r="E22" s="113"/>
      <c r="F22" s="163"/>
      <c r="G22" s="113">
        <f>SUM(G5:G21)</f>
        <v>415257</v>
      </c>
      <c r="H22" s="113">
        <f>SUM(H5:H21)</f>
        <v>0</v>
      </c>
      <c r="I22" s="163"/>
      <c r="J22" s="113">
        <f>SUM(J5:J20)</f>
        <v>0</v>
      </c>
      <c r="K22" s="113">
        <f>SUM(K5:K20)</f>
        <v>0</v>
      </c>
      <c r="L22" s="113">
        <f t="shared" ref="L22:X22" si="3">SUM(L5:L21)</f>
        <v>0</v>
      </c>
      <c r="M22" s="113">
        <f t="shared" si="3"/>
        <v>0</v>
      </c>
      <c r="N22" s="113">
        <f t="shared" si="3"/>
        <v>0</v>
      </c>
      <c r="O22" s="113">
        <f t="shared" si="3"/>
        <v>0</v>
      </c>
      <c r="P22" s="113">
        <f t="shared" si="3"/>
        <v>0</v>
      </c>
      <c r="Q22" s="113">
        <f t="shared" si="3"/>
        <v>0</v>
      </c>
      <c r="R22" s="113">
        <f t="shared" si="3"/>
        <v>0</v>
      </c>
      <c r="S22" s="113">
        <f t="shared" si="3"/>
        <v>0</v>
      </c>
      <c r="T22" s="113">
        <f t="shared" si="3"/>
        <v>0</v>
      </c>
      <c r="U22" s="113">
        <f t="shared" si="3"/>
        <v>0</v>
      </c>
      <c r="V22" s="113">
        <f t="shared" si="3"/>
        <v>0</v>
      </c>
      <c r="W22" s="113">
        <f t="shared" si="3"/>
        <v>0</v>
      </c>
      <c r="X22" s="113">
        <f t="shared" si="3"/>
        <v>-10257</v>
      </c>
    </row>
    <row r="23" spans="1:26" s="9" customFormat="1" ht="14.7" thickTop="1" x14ac:dyDescent="0.55000000000000004">
      <c r="E23" s="162"/>
      <c r="F23" s="162"/>
      <c r="G23" s="162"/>
      <c r="H23" s="162"/>
      <c r="I23" s="162"/>
      <c r="J23" s="162"/>
    </row>
    <row r="24" spans="1:26" x14ac:dyDescent="0.55000000000000004">
      <c r="A24" s="10" t="s">
        <v>59</v>
      </c>
      <c r="G24" s="126">
        <f>W22+G22</f>
        <v>415257</v>
      </c>
      <c r="H24" s="126"/>
      <c r="I24" s="126"/>
      <c r="J24" s="126"/>
      <c r="K24" s="126"/>
    </row>
    <row r="25" spans="1:26" x14ac:dyDescent="0.55000000000000004">
      <c r="A25" s="10" t="s">
        <v>63</v>
      </c>
      <c r="D25" s="10">
        <v>150000</v>
      </c>
      <c r="G25" s="126"/>
      <c r="H25" s="126"/>
      <c r="I25" s="126"/>
      <c r="J25" s="126"/>
      <c r="K25" s="126"/>
      <c r="Y25" s="219"/>
      <c r="Z25" s="219"/>
    </row>
    <row r="26" spans="1:26" x14ac:dyDescent="0.55000000000000004">
      <c r="A26" s="10" t="s">
        <v>64</v>
      </c>
      <c r="D26" s="10">
        <v>350000</v>
      </c>
      <c r="G26" s="126"/>
      <c r="H26" s="126"/>
      <c r="I26" s="126"/>
      <c r="J26" s="126"/>
      <c r="K26" s="126"/>
    </row>
    <row r="27" spans="1:26" x14ac:dyDescent="0.55000000000000004">
      <c r="D27" s="9">
        <f>SUM(D25:D26)</f>
        <v>500000</v>
      </c>
    </row>
    <row r="28" spans="1:26" x14ac:dyDescent="0.55000000000000004">
      <c r="A28" s="154"/>
    </row>
    <row r="29" spans="1:26" x14ac:dyDescent="0.55000000000000004">
      <c r="A29" s="10" t="s">
        <v>173</v>
      </c>
      <c r="D29" s="10">
        <v>65000</v>
      </c>
    </row>
    <row r="31" spans="1:26" ht="14.7" thickBot="1" x14ac:dyDescent="0.6">
      <c r="D31" s="113">
        <f>SUM(D27:D30)</f>
        <v>565000</v>
      </c>
    </row>
    <row r="32" spans="1:26" ht="14.7" thickTop="1" x14ac:dyDescent="0.55000000000000004"/>
  </sheetData>
  <mergeCells count="1">
    <mergeCell ref="K2:V2"/>
  </mergeCells>
  <printOptions gridLines="1"/>
  <pageMargins left="0.70866141732283472" right="0.70866141732283472" top="0.74803149606299213" bottom="0.74803149606299213" header="0.31496062992125984" footer="0.31496062992125984"/>
  <pageSetup scale="65" orientation="landscape" horizontalDpi="4294967294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topLeftCell="A19" workbookViewId="0">
      <selection activeCell="A32" sqref="A32"/>
    </sheetView>
  </sheetViews>
  <sheetFormatPr defaultRowHeight="14.4" x14ac:dyDescent="0.55000000000000004"/>
  <cols>
    <col min="1" max="1" width="24.41796875" customWidth="1"/>
    <col min="2" max="2" width="5.578125" customWidth="1"/>
    <col min="3" max="3" width="15.83984375" customWidth="1"/>
    <col min="4" max="5" width="7.26171875" customWidth="1"/>
    <col min="6" max="6" width="1.15625" customWidth="1"/>
    <col min="7" max="7" width="6.578125" customWidth="1"/>
    <col min="8" max="8" width="8.68359375" customWidth="1"/>
    <col min="9" max="9" width="1.15625" customWidth="1"/>
    <col min="10" max="10" width="9" hidden="1" customWidth="1"/>
    <col min="11" max="11" width="7.68359375" hidden="1" customWidth="1"/>
    <col min="12" max="12" width="7.83984375" hidden="1" customWidth="1"/>
    <col min="13" max="13" width="7.15625" hidden="1" customWidth="1"/>
    <col min="14" max="14" width="6.83984375" hidden="1" customWidth="1"/>
    <col min="15" max="15" width="7.68359375" customWidth="1"/>
    <col min="16" max="16" width="7.83984375" customWidth="1"/>
    <col min="17" max="17" width="8.15625" customWidth="1"/>
    <col min="18" max="18" width="7.15625" customWidth="1"/>
    <col min="19" max="19" width="7" customWidth="1"/>
    <col min="20" max="20" width="7.68359375" customWidth="1"/>
    <col min="21" max="22" width="7.26171875" customWidth="1"/>
    <col min="23" max="23" width="8" customWidth="1"/>
    <col min="24" max="24" width="10.15625" customWidth="1"/>
  </cols>
  <sheetData>
    <row r="1" spans="1:26" s="10" customFormat="1" x14ac:dyDescent="0.55000000000000004">
      <c r="A1" s="9" t="s">
        <v>0</v>
      </c>
      <c r="B1" s="9"/>
      <c r="C1" s="9"/>
      <c r="D1" s="2"/>
      <c r="E1" s="2"/>
      <c r="F1" s="2"/>
      <c r="G1" s="2"/>
      <c r="H1" s="2"/>
      <c r="I1" s="2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72" t="s">
        <v>151</v>
      </c>
    </row>
    <row r="2" spans="1:26" s="10" customFormat="1" x14ac:dyDescent="0.55000000000000004">
      <c r="A2" s="9"/>
      <c r="B2" s="9"/>
      <c r="C2" s="9"/>
      <c r="D2" s="2"/>
      <c r="E2" s="2"/>
      <c r="F2" s="2"/>
      <c r="G2" s="2"/>
      <c r="H2" s="2"/>
      <c r="I2" s="2"/>
      <c r="J2" s="153">
        <v>2016</v>
      </c>
      <c r="K2" s="276">
        <v>2017</v>
      </c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9" t="s">
        <v>19</v>
      </c>
      <c r="X2" s="172" t="s">
        <v>150</v>
      </c>
    </row>
    <row r="3" spans="1:26" s="10" customFormat="1" x14ac:dyDescent="0.55000000000000004">
      <c r="A3" s="11"/>
      <c r="B3" s="11"/>
      <c r="C3" s="11"/>
      <c r="D3" s="4" t="s">
        <v>2</v>
      </c>
      <c r="E3" s="4" t="s">
        <v>3</v>
      </c>
      <c r="F3" s="62"/>
      <c r="G3" s="4" t="s">
        <v>70</v>
      </c>
      <c r="H3" s="4" t="s">
        <v>144</v>
      </c>
      <c r="I3" s="62"/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142</v>
      </c>
      <c r="P3" s="9" t="s">
        <v>5</v>
      </c>
      <c r="Q3" s="9" t="s">
        <v>6</v>
      </c>
      <c r="R3" s="9" t="s">
        <v>7</v>
      </c>
      <c r="S3" s="9" t="s">
        <v>8</v>
      </c>
      <c r="T3" s="9" t="s">
        <v>9</v>
      </c>
      <c r="U3" s="9" t="s">
        <v>10</v>
      </c>
      <c r="V3" s="9" t="s">
        <v>11</v>
      </c>
      <c r="W3" s="9"/>
      <c r="X3" s="9"/>
    </row>
    <row r="4" spans="1:26" x14ac:dyDescent="0.55000000000000004">
      <c r="A4" s="1" t="s">
        <v>147</v>
      </c>
      <c r="B4" s="1"/>
      <c r="C4" s="1"/>
      <c r="D4" s="10">
        <f>Summary!F7</f>
        <v>22412</v>
      </c>
      <c r="E4" s="10">
        <f>Summary!G7</f>
        <v>17500</v>
      </c>
      <c r="F4" s="116"/>
      <c r="G4" s="10"/>
      <c r="H4" s="10"/>
      <c r="I4" s="116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0"/>
    </row>
    <row r="5" spans="1:26" x14ac:dyDescent="0.55000000000000004">
      <c r="A5" t="s">
        <v>36</v>
      </c>
      <c r="B5" t="s">
        <v>97</v>
      </c>
      <c r="C5" t="s">
        <v>112</v>
      </c>
      <c r="D5" s="10">
        <v>6000</v>
      </c>
      <c r="E5" s="10"/>
      <c r="F5" s="116"/>
      <c r="G5" s="10">
        <v>6000</v>
      </c>
      <c r="H5" s="10"/>
      <c r="I5" s="116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9">
        <f>J5+K5+L5+M5+N5+O5+P5+Q5+R5+T5+S5+U5+V5</f>
        <v>0</v>
      </c>
      <c r="X5" s="10">
        <f>D5-G5</f>
        <v>0</v>
      </c>
      <c r="Z5" s="59" t="s">
        <v>287</v>
      </c>
    </row>
    <row r="6" spans="1:26" x14ac:dyDescent="0.55000000000000004">
      <c r="A6" t="s">
        <v>35</v>
      </c>
      <c r="B6" t="s">
        <v>100</v>
      </c>
      <c r="C6" t="s">
        <v>111</v>
      </c>
      <c r="D6" s="10">
        <v>3000</v>
      </c>
      <c r="E6" s="10"/>
      <c r="F6" s="116"/>
      <c r="G6" s="10">
        <v>3000</v>
      </c>
      <c r="H6" s="10"/>
      <c r="I6" s="116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9">
        <f t="shared" ref="W6:W11" si="0">J6+K6+L6+M6+N6+O6+P6+Q6+R6+T6+S6+U6+V6</f>
        <v>0</v>
      </c>
      <c r="X6" s="10">
        <f>D6-G6</f>
        <v>0</v>
      </c>
    </row>
    <row r="7" spans="1:26" x14ac:dyDescent="0.55000000000000004">
      <c r="A7" t="s">
        <v>37</v>
      </c>
      <c r="B7" t="s">
        <v>101</v>
      </c>
      <c r="C7" t="s">
        <v>114</v>
      </c>
      <c r="D7" s="10">
        <v>28000</v>
      </c>
      <c r="E7" s="10"/>
      <c r="F7" s="116"/>
      <c r="G7" s="10">
        <v>28000</v>
      </c>
      <c r="H7" s="10"/>
      <c r="I7" s="116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9">
        <f t="shared" si="0"/>
        <v>0</v>
      </c>
      <c r="X7" s="10">
        <f t="shared" ref="X7:X11" si="1">D7-G7</f>
        <v>0</v>
      </c>
    </row>
    <row r="8" spans="1:26" x14ac:dyDescent="0.55000000000000004">
      <c r="A8" t="s">
        <v>188</v>
      </c>
      <c r="B8" t="s">
        <v>105</v>
      </c>
      <c r="C8" t="s">
        <v>187</v>
      </c>
      <c r="D8" s="10">
        <f>3000-2400+149</f>
        <v>749</v>
      </c>
      <c r="E8" s="10"/>
      <c r="F8" s="116"/>
      <c r="G8" s="10">
        <v>749</v>
      </c>
      <c r="H8" s="10"/>
      <c r="I8" s="116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9">
        <f t="shared" si="0"/>
        <v>0</v>
      </c>
      <c r="X8" s="10">
        <f t="shared" si="1"/>
        <v>0</v>
      </c>
    </row>
    <row r="9" spans="1:26" x14ac:dyDescent="0.55000000000000004">
      <c r="A9" t="s">
        <v>38</v>
      </c>
      <c r="B9" t="s">
        <v>105</v>
      </c>
      <c r="C9" t="s">
        <v>113</v>
      </c>
      <c r="D9" s="10"/>
      <c r="E9" s="10"/>
      <c r="F9" s="116"/>
      <c r="G9" s="10"/>
      <c r="H9" s="10"/>
      <c r="I9" s="116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9">
        <f t="shared" si="0"/>
        <v>0</v>
      </c>
      <c r="X9" s="10">
        <f t="shared" si="1"/>
        <v>0</v>
      </c>
    </row>
    <row r="10" spans="1:26" x14ac:dyDescent="0.55000000000000004">
      <c r="A10" t="s">
        <v>189</v>
      </c>
      <c r="B10" t="s">
        <v>99</v>
      </c>
      <c r="C10" t="s">
        <v>141</v>
      </c>
      <c r="D10" s="10">
        <f>2500-412+75</f>
        <v>2163</v>
      </c>
      <c r="E10" s="10"/>
      <c r="F10" s="116"/>
      <c r="G10" s="10">
        <v>2163</v>
      </c>
      <c r="H10" s="10"/>
      <c r="I10" s="116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9">
        <f t="shared" si="0"/>
        <v>0</v>
      </c>
      <c r="X10" s="10">
        <f t="shared" si="1"/>
        <v>0</v>
      </c>
    </row>
    <row r="11" spans="1:26" x14ac:dyDescent="0.55000000000000004">
      <c r="A11" t="s">
        <v>42</v>
      </c>
      <c r="D11" s="10"/>
      <c r="E11" s="10"/>
      <c r="F11" s="116"/>
      <c r="G11" s="10"/>
      <c r="H11" s="10"/>
      <c r="I11" s="116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9">
        <f t="shared" si="0"/>
        <v>0</v>
      </c>
      <c r="X11" s="10">
        <f t="shared" si="1"/>
        <v>0</v>
      </c>
    </row>
    <row r="12" spans="1:26" s="1" customFormat="1" ht="14.7" thickBot="1" x14ac:dyDescent="0.6">
      <c r="A12" s="159" t="s">
        <v>57</v>
      </c>
      <c r="D12" s="113">
        <f>D4+E4</f>
        <v>39912</v>
      </c>
      <c r="E12" s="113"/>
      <c r="F12" s="163"/>
      <c r="G12" s="113">
        <f>SUM(G4:G11)</f>
        <v>39912</v>
      </c>
      <c r="H12" s="113">
        <f>SUM(H5:H11)</f>
        <v>0</v>
      </c>
      <c r="I12" s="163"/>
      <c r="J12" s="113">
        <f t="shared" ref="J12:K12" si="2">SUM(J6:J11)</f>
        <v>0</v>
      </c>
      <c r="K12" s="113">
        <f t="shared" si="2"/>
        <v>0</v>
      </c>
      <c r="L12" s="113">
        <f>SUM(L4:L11)</f>
        <v>0</v>
      </c>
      <c r="M12" s="113">
        <f>SUM(M4:M11)</f>
        <v>0</v>
      </c>
      <c r="N12" s="113">
        <f t="shared" ref="N12:V12" si="3">SUM(N4:N11)</f>
        <v>0</v>
      </c>
      <c r="O12" s="113">
        <f t="shared" si="3"/>
        <v>0</v>
      </c>
      <c r="P12" s="113">
        <f t="shared" si="3"/>
        <v>0</v>
      </c>
      <c r="Q12" s="113">
        <f t="shared" si="3"/>
        <v>0</v>
      </c>
      <c r="R12" s="113">
        <f t="shared" si="3"/>
        <v>0</v>
      </c>
      <c r="S12" s="113">
        <f t="shared" si="3"/>
        <v>0</v>
      </c>
      <c r="T12" s="113">
        <f t="shared" si="3"/>
        <v>0</v>
      </c>
      <c r="U12" s="113">
        <f t="shared" si="3"/>
        <v>0</v>
      </c>
      <c r="V12" s="113">
        <f t="shared" si="3"/>
        <v>0</v>
      </c>
      <c r="W12" s="113">
        <f>SUM(W5:W11)</f>
        <v>0</v>
      </c>
      <c r="X12" s="113">
        <f>SUM(X5:X11)</f>
        <v>0</v>
      </c>
    </row>
    <row r="13" spans="1:26" ht="14.7" thickTop="1" x14ac:dyDescent="0.55000000000000004"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6" x14ac:dyDescent="0.55000000000000004">
      <c r="A14" t="s">
        <v>43</v>
      </c>
      <c r="G14" s="10">
        <f>X12+G12</f>
        <v>39912</v>
      </c>
    </row>
    <row r="16" spans="1:26" x14ac:dyDescent="0.55000000000000004">
      <c r="D16" s="10"/>
    </row>
    <row r="19" spans="1:16" ht="15.3" x14ac:dyDescent="0.55000000000000004">
      <c r="P19" s="229"/>
    </row>
    <row r="23" spans="1:16" x14ac:dyDescent="0.55000000000000004">
      <c r="A23" s="236" t="s">
        <v>236</v>
      </c>
    </row>
    <row r="24" spans="1:16" x14ac:dyDescent="0.55000000000000004">
      <c r="A24" s="232" t="s">
        <v>237</v>
      </c>
    </row>
    <row r="25" spans="1:16" x14ac:dyDescent="0.55000000000000004">
      <c r="A25" s="232" t="s">
        <v>238</v>
      </c>
    </row>
    <row r="26" spans="1:16" x14ac:dyDescent="0.55000000000000004">
      <c r="A26" s="232" t="s">
        <v>239</v>
      </c>
    </row>
    <row r="27" spans="1:16" x14ac:dyDescent="0.55000000000000004">
      <c r="A27" s="232" t="s">
        <v>338</v>
      </c>
    </row>
    <row r="28" spans="1:16" x14ac:dyDescent="0.55000000000000004">
      <c r="A28" s="232" t="s">
        <v>240</v>
      </c>
    </row>
    <row r="30" spans="1:16" x14ac:dyDescent="0.55000000000000004">
      <c r="A30" s="232" t="s">
        <v>255</v>
      </c>
    </row>
  </sheetData>
  <mergeCells count="1">
    <mergeCell ref="K2:V2"/>
  </mergeCells>
  <printOptions gridLines="1"/>
  <pageMargins left="0.70866141732283472" right="0.70866141732283472" top="0.74803149606299213" bottom="0.74803149606299213" header="0.31496062992125984" footer="0.31496062992125984"/>
  <pageSetup scale="78" orientation="landscape" horizontalDpi="4294967294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zoomScaleNormal="100" workbookViewId="0">
      <selection activeCell="O14" sqref="O14"/>
    </sheetView>
  </sheetViews>
  <sheetFormatPr defaultRowHeight="14.4" x14ac:dyDescent="0.55000000000000004"/>
  <cols>
    <col min="1" max="1" width="20.15625" bestFit="1" customWidth="1"/>
    <col min="2" max="2" width="7.15625" customWidth="1"/>
    <col min="3" max="3" width="16.41796875" bestFit="1" customWidth="1"/>
    <col min="4" max="4" width="7.41796875" bestFit="1" customWidth="1"/>
    <col min="5" max="5" width="8.41796875" bestFit="1" customWidth="1"/>
    <col min="6" max="6" width="2.83984375" customWidth="1"/>
    <col min="7" max="7" width="7.26171875" bestFit="1" customWidth="1"/>
    <col min="8" max="8" width="8.578125" bestFit="1" customWidth="1"/>
    <col min="9" max="9" width="2.578125" customWidth="1"/>
    <col min="10" max="10" width="5.578125" hidden="1" customWidth="1"/>
    <col min="11" max="11" width="3.68359375" hidden="1" customWidth="1"/>
    <col min="12" max="12" width="4" hidden="1" customWidth="1"/>
    <col min="13" max="13" width="4.578125" hidden="1" customWidth="1"/>
    <col min="14" max="14" width="4" hidden="1" customWidth="1"/>
    <col min="15" max="15" width="4.68359375" bestFit="1" customWidth="1"/>
    <col min="16" max="16" width="3.83984375" bestFit="1" customWidth="1"/>
    <col min="17" max="17" width="3.26171875" bestFit="1" customWidth="1"/>
    <col min="18" max="19" width="4.15625" bestFit="1" customWidth="1"/>
    <col min="20" max="21" width="4.26171875" bestFit="1" customWidth="1"/>
    <col min="22" max="22" width="4.578125" bestFit="1" customWidth="1"/>
    <col min="23" max="23" width="2.68359375" customWidth="1"/>
    <col min="24" max="24" width="6.41796875" bestFit="1" customWidth="1"/>
    <col min="25" max="25" width="5.41796875" bestFit="1" customWidth="1"/>
    <col min="26" max="26" width="10.41796875" bestFit="1" customWidth="1"/>
    <col min="27" max="27" width="9.15625" customWidth="1"/>
  </cols>
  <sheetData>
    <row r="1" spans="1:28" s="10" customFormat="1" x14ac:dyDescent="0.55000000000000004">
      <c r="A1" s="217" t="s">
        <v>0</v>
      </c>
      <c r="B1" s="217"/>
      <c r="C1" s="217"/>
      <c r="D1" s="2"/>
      <c r="E1" s="2"/>
      <c r="F1" s="2"/>
      <c r="G1" s="2"/>
      <c r="H1" s="2"/>
      <c r="I1" s="2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</row>
    <row r="2" spans="1:28" s="10" customFormat="1" x14ac:dyDescent="0.55000000000000004">
      <c r="A2" s="217"/>
      <c r="B2" s="217"/>
      <c r="C2" s="217"/>
      <c r="D2" s="2"/>
      <c r="E2" s="2"/>
      <c r="F2" s="2"/>
      <c r="G2" s="2"/>
      <c r="H2" s="2"/>
      <c r="I2" s="2"/>
      <c r="J2" s="210">
        <v>2016</v>
      </c>
      <c r="K2" s="276">
        <v>2017</v>
      </c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10"/>
      <c r="X2" s="210"/>
      <c r="Y2" s="217"/>
      <c r="Z2" s="217" t="s">
        <v>154</v>
      </c>
    </row>
    <row r="3" spans="1:28" s="10" customFormat="1" x14ac:dyDescent="0.55000000000000004">
      <c r="A3" s="218"/>
      <c r="B3" s="218"/>
      <c r="C3" s="218"/>
      <c r="D3" s="4" t="s">
        <v>2</v>
      </c>
      <c r="E3" s="4" t="s">
        <v>3</v>
      </c>
      <c r="F3" s="62"/>
      <c r="G3" s="4" t="s">
        <v>70</v>
      </c>
      <c r="H3" s="4" t="s">
        <v>144</v>
      </c>
      <c r="I3" s="62"/>
      <c r="J3" s="217" t="s">
        <v>11</v>
      </c>
      <c r="K3" s="217" t="s">
        <v>12</v>
      </c>
      <c r="L3" s="217" t="s">
        <v>13</v>
      </c>
      <c r="M3" s="217" t="s">
        <v>14</v>
      </c>
      <c r="N3" s="217" t="s">
        <v>15</v>
      </c>
      <c r="O3" s="217" t="s">
        <v>142</v>
      </c>
      <c r="P3" s="217" t="s">
        <v>5</v>
      </c>
      <c r="Q3" s="217" t="s">
        <v>6</v>
      </c>
      <c r="R3" s="217" t="s">
        <v>7</v>
      </c>
      <c r="S3" s="217" t="s">
        <v>8</v>
      </c>
      <c r="T3" s="217" t="s">
        <v>9</v>
      </c>
      <c r="U3" s="217" t="s">
        <v>10</v>
      </c>
      <c r="V3" s="217" t="s">
        <v>11</v>
      </c>
      <c r="W3" s="220"/>
      <c r="X3" s="221" t="s">
        <v>214</v>
      </c>
      <c r="Y3" s="217" t="s">
        <v>19</v>
      </c>
      <c r="Z3" s="217" t="s">
        <v>150</v>
      </c>
    </row>
    <row r="4" spans="1:28" x14ac:dyDescent="0.55000000000000004">
      <c r="A4" s="214" t="s">
        <v>148</v>
      </c>
      <c r="B4" s="214"/>
      <c r="C4" s="214"/>
      <c r="D4" s="217">
        <f>Summary!I6</f>
        <v>78000</v>
      </c>
      <c r="E4" s="218"/>
      <c r="F4" s="222"/>
      <c r="G4" s="218"/>
      <c r="H4" s="218"/>
      <c r="I4" s="222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22"/>
      <c r="X4" s="218"/>
      <c r="Y4" s="218"/>
      <c r="Z4" s="3"/>
    </row>
    <row r="5" spans="1:28" x14ac:dyDescent="0.55000000000000004">
      <c r="A5" s="3" t="s">
        <v>39</v>
      </c>
      <c r="B5" s="127" t="s">
        <v>97</v>
      </c>
      <c r="C5" s="127" t="s">
        <v>108</v>
      </c>
      <c r="D5" s="151">
        <v>15000</v>
      </c>
      <c r="E5" s="218"/>
      <c r="F5" s="222"/>
      <c r="G5" s="218">
        <v>15000</v>
      </c>
      <c r="H5" s="218"/>
      <c r="I5" s="222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22"/>
      <c r="X5" s="218"/>
      <c r="Y5" s="218">
        <f>SUM(J5:V5)</f>
        <v>0</v>
      </c>
      <c r="Z5" s="218">
        <f>D5-G5</f>
        <v>0</v>
      </c>
    </row>
    <row r="6" spans="1:28" x14ac:dyDescent="0.55000000000000004">
      <c r="A6" s="3" t="s">
        <v>67</v>
      </c>
      <c r="B6" s="127" t="s">
        <v>97</v>
      </c>
      <c r="C6" s="127" t="s">
        <v>108</v>
      </c>
      <c r="D6" s="151">
        <v>7000</v>
      </c>
      <c r="E6" s="218"/>
      <c r="F6" s="222"/>
      <c r="G6" s="218">
        <v>7000</v>
      </c>
      <c r="H6" s="218"/>
      <c r="I6" s="222"/>
      <c r="J6" s="218"/>
      <c r="K6" s="218"/>
      <c r="L6" s="218">
        <f>6000-6000</f>
        <v>0</v>
      </c>
      <c r="M6" s="218">
        <v>0</v>
      </c>
      <c r="N6" s="218"/>
      <c r="O6" s="218"/>
      <c r="P6" s="218"/>
      <c r="Q6" s="218"/>
      <c r="R6" s="218"/>
      <c r="S6" s="218"/>
      <c r="T6" s="218"/>
      <c r="U6" s="218"/>
      <c r="V6" s="218"/>
      <c r="W6" s="222"/>
      <c r="X6" s="218"/>
      <c r="Y6" s="218">
        <f>SUM(J6:V6)</f>
        <v>0</v>
      </c>
      <c r="Z6" s="218">
        <f>D6-G6</f>
        <v>0</v>
      </c>
      <c r="AB6" s="207" t="s">
        <v>213</v>
      </c>
    </row>
    <row r="7" spans="1:28" x14ac:dyDescent="0.55000000000000004">
      <c r="A7" s="3" t="s">
        <v>37</v>
      </c>
      <c r="B7" s="3" t="s">
        <v>101</v>
      </c>
      <c r="C7" s="3" t="s">
        <v>109</v>
      </c>
      <c r="D7" s="218">
        <v>25000</v>
      </c>
      <c r="E7" s="218"/>
      <c r="F7" s="222"/>
      <c r="G7" s="218">
        <v>25000</v>
      </c>
      <c r="H7" s="218"/>
      <c r="I7" s="222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22"/>
      <c r="X7" s="218"/>
      <c r="Y7" s="218">
        <f>SUM(J7:V7)</f>
        <v>0</v>
      </c>
      <c r="Z7" s="218">
        <f>D7-G7</f>
        <v>0</v>
      </c>
    </row>
    <row r="8" spans="1:28" x14ac:dyDescent="0.55000000000000004">
      <c r="A8" s="3" t="s">
        <v>33</v>
      </c>
      <c r="B8" s="3" t="s">
        <v>105</v>
      </c>
      <c r="C8" s="3" t="s">
        <v>110</v>
      </c>
      <c r="D8" s="218">
        <v>25000</v>
      </c>
      <c r="E8" s="218"/>
      <c r="F8" s="222"/>
      <c r="G8" s="218">
        <v>25000</v>
      </c>
      <c r="H8" s="218"/>
      <c r="I8" s="222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22"/>
      <c r="X8" s="218"/>
      <c r="Y8" s="218">
        <f>SUM(J8:V8)</f>
        <v>0</v>
      </c>
      <c r="Z8" s="218">
        <f>D8-G8</f>
        <v>0</v>
      </c>
    </row>
    <row r="9" spans="1:28" x14ac:dyDescent="0.55000000000000004">
      <c r="A9" s="3" t="s">
        <v>38</v>
      </c>
      <c r="B9" s="3" t="s">
        <v>105</v>
      </c>
      <c r="C9" s="3" t="s">
        <v>110</v>
      </c>
      <c r="D9" s="218">
        <v>6000</v>
      </c>
      <c r="E9" s="218"/>
      <c r="F9" s="222"/>
      <c r="G9" s="218">
        <v>6000</v>
      </c>
      <c r="H9" s="218"/>
      <c r="I9" s="222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22"/>
      <c r="X9" s="218"/>
      <c r="Y9" s="218">
        <f>SUM(J9:V9)</f>
        <v>0</v>
      </c>
      <c r="Z9" s="218">
        <f>D9-G9</f>
        <v>0</v>
      </c>
    </row>
    <row r="10" spans="1:28" s="1" customFormat="1" ht="14.7" thickBot="1" x14ac:dyDescent="0.6">
      <c r="A10" s="214" t="s">
        <v>156</v>
      </c>
      <c r="B10" s="214"/>
      <c r="C10" s="214"/>
      <c r="D10" s="212">
        <f>D4</f>
        <v>78000</v>
      </c>
      <c r="E10" s="212"/>
      <c r="F10" s="213"/>
      <c r="G10" s="212">
        <f>SUM(G5:G9)</f>
        <v>78000</v>
      </c>
      <c r="H10" s="212">
        <f>SUM(H5:H9)</f>
        <v>0</v>
      </c>
      <c r="I10" s="213"/>
      <c r="J10" s="212">
        <f t="shared" ref="J10:Y10" si="0">SUM(J5:J9)</f>
        <v>0</v>
      </c>
      <c r="K10" s="212">
        <f t="shared" si="0"/>
        <v>0</v>
      </c>
      <c r="L10" s="212">
        <f t="shared" si="0"/>
        <v>0</v>
      </c>
      <c r="M10" s="212">
        <f t="shared" si="0"/>
        <v>0</v>
      </c>
      <c r="N10" s="212">
        <f t="shared" si="0"/>
        <v>0</v>
      </c>
      <c r="O10" s="212">
        <f t="shared" si="0"/>
        <v>0</v>
      </c>
      <c r="P10" s="212">
        <f t="shared" si="0"/>
        <v>0</v>
      </c>
      <c r="Q10" s="212">
        <f t="shared" si="0"/>
        <v>0</v>
      </c>
      <c r="R10" s="212">
        <f t="shared" si="0"/>
        <v>0</v>
      </c>
      <c r="S10" s="212">
        <f t="shared" si="0"/>
        <v>0</v>
      </c>
      <c r="T10" s="212">
        <f t="shared" si="0"/>
        <v>0</v>
      </c>
      <c r="U10" s="212">
        <f t="shared" si="0"/>
        <v>0</v>
      </c>
      <c r="V10" s="212">
        <f t="shared" si="0"/>
        <v>0</v>
      </c>
      <c r="W10" s="213"/>
      <c r="X10" s="212">
        <f t="shared" si="0"/>
        <v>0</v>
      </c>
      <c r="Y10" s="212">
        <f t="shared" si="0"/>
        <v>0</v>
      </c>
      <c r="Z10" s="212">
        <f>SUM(Z5:Z9)</f>
        <v>0</v>
      </c>
    </row>
    <row r="11" spans="1:28" ht="14.7" thickTop="1" x14ac:dyDescent="0.55000000000000004">
      <c r="A11" s="3"/>
      <c r="B11" s="3"/>
      <c r="C11" s="3"/>
      <c r="D11" s="217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3"/>
    </row>
    <row r="12" spans="1:28" x14ac:dyDescent="0.55000000000000004">
      <c r="A12" s="3" t="s">
        <v>54</v>
      </c>
      <c r="B12" s="3"/>
      <c r="C12" s="3"/>
      <c r="D12" s="3"/>
      <c r="E12" s="3"/>
      <c r="F12" s="3"/>
      <c r="G12" s="218">
        <f>Z10+G10</f>
        <v>78000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8" ht="15" customHeight="1" x14ac:dyDescent="0.9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</row>
    <row r="14" spans="1:28" ht="15" customHeight="1" x14ac:dyDescent="0.95">
      <c r="A14" s="123"/>
      <c r="B14" s="123"/>
      <c r="C14" s="123"/>
      <c r="D14" s="123"/>
      <c r="E14" s="123"/>
      <c r="F14" s="123"/>
      <c r="G14" s="274" t="s">
        <v>343</v>
      </c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</row>
    <row r="15" spans="1:28" ht="15" customHeight="1" x14ac:dyDescent="0.9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</row>
    <row r="16" spans="1:28" ht="15" customHeight="1" x14ac:dyDescent="0.95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</row>
    <row r="17" spans="1:25" ht="15" customHeight="1" x14ac:dyDescent="0.9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</row>
  </sheetData>
  <mergeCells count="1">
    <mergeCell ref="K2:V2"/>
  </mergeCells>
  <pageMargins left="0.7" right="0.7" top="0.75" bottom="0.75" header="0.3" footer="0.3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workbookViewId="0">
      <selection activeCell="V28" sqref="V28"/>
    </sheetView>
  </sheetViews>
  <sheetFormatPr defaultRowHeight="14.4" x14ac:dyDescent="0.55000000000000004"/>
  <cols>
    <col min="1" max="1" width="17.41796875" customWidth="1"/>
    <col min="2" max="2" width="8" bestFit="1" customWidth="1"/>
    <col min="3" max="3" width="16.26171875" customWidth="1"/>
    <col min="4" max="4" width="8" customWidth="1"/>
    <col min="5" max="5" width="8.41796875" customWidth="1"/>
    <col min="6" max="6" width="1.41796875" customWidth="1"/>
    <col min="7" max="8" width="7.578125" customWidth="1"/>
    <col min="9" max="9" width="1.68359375" customWidth="1"/>
    <col min="10" max="10" width="7.41796875" hidden="1" customWidth="1"/>
    <col min="11" max="11" width="7.68359375" hidden="1" customWidth="1"/>
    <col min="12" max="12" width="7" hidden="1" customWidth="1"/>
    <col min="13" max="13" width="8.68359375" hidden="1" customWidth="1"/>
    <col min="14" max="14" width="8.15625" hidden="1" customWidth="1"/>
    <col min="15" max="15" width="7.68359375" hidden="1" customWidth="1"/>
    <col min="16" max="16" width="6.41796875" customWidth="1"/>
    <col min="17" max="17" width="7.15625" customWidth="1"/>
    <col min="18" max="20" width="4.15625" bestFit="1" customWidth="1"/>
    <col min="21" max="21" width="4.26171875" bestFit="1" customWidth="1"/>
    <col min="22" max="22" width="4.578125" bestFit="1" customWidth="1"/>
    <col min="23" max="23" width="7.83984375" customWidth="1"/>
    <col min="24" max="24" width="11.15625" customWidth="1"/>
    <col min="25" max="25" width="31.68359375" bestFit="1" customWidth="1"/>
  </cols>
  <sheetData>
    <row r="1" spans="1:26" s="10" customFormat="1" x14ac:dyDescent="0.55000000000000004">
      <c r="A1" s="9" t="s">
        <v>0</v>
      </c>
      <c r="B1" s="9"/>
      <c r="C1" s="9"/>
      <c r="D1" s="2"/>
      <c r="E1" s="2"/>
      <c r="F1" s="2"/>
      <c r="G1" s="2"/>
      <c r="H1" s="2"/>
      <c r="I1" s="2"/>
    </row>
    <row r="2" spans="1:26" s="10" customFormat="1" x14ac:dyDescent="0.55000000000000004">
      <c r="A2" s="9"/>
      <c r="B2" s="9"/>
      <c r="C2" s="9"/>
      <c r="D2" s="2"/>
      <c r="E2" s="2"/>
      <c r="F2" s="2"/>
      <c r="G2" s="2"/>
      <c r="H2" s="2"/>
      <c r="I2" s="2"/>
      <c r="J2" s="153">
        <v>2016</v>
      </c>
      <c r="K2" s="276">
        <v>2017</v>
      </c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9"/>
      <c r="X2" s="9" t="s">
        <v>154</v>
      </c>
    </row>
    <row r="3" spans="1:26" s="10" customFormat="1" x14ac:dyDescent="0.55000000000000004">
      <c r="A3" s="11"/>
      <c r="B3" s="11"/>
      <c r="C3" s="11"/>
      <c r="D3" s="4" t="s">
        <v>2</v>
      </c>
      <c r="E3" s="4" t="s">
        <v>3</v>
      </c>
      <c r="F3" s="62"/>
      <c r="G3" s="4" t="s">
        <v>70</v>
      </c>
      <c r="H3" s="4" t="s">
        <v>144</v>
      </c>
      <c r="I3" s="62"/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142</v>
      </c>
      <c r="P3" s="9" t="s">
        <v>5</v>
      </c>
      <c r="Q3" s="9" t="s">
        <v>6</v>
      </c>
      <c r="R3" s="9" t="s">
        <v>7</v>
      </c>
      <c r="S3" s="9" t="s">
        <v>8</v>
      </c>
      <c r="T3" s="9" t="s">
        <v>9</v>
      </c>
      <c r="U3" s="9" t="s">
        <v>10</v>
      </c>
      <c r="V3" s="9" t="s">
        <v>11</v>
      </c>
      <c r="W3" s="9" t="s">
        <v>19</v>
      </c>
      <c r="X3" s="9" t="s">
        <v>150</v>
      </c>
    </row>
    <row r="4" spans="1:26" x14ac:dyDescent="0.55000000000000004">
      <c r="A4" s="1" t="s">
        <v>23</v>
      </c>
      <c r="D4" s="9">
        <f>Summary!I8</f>
        <v>20275</v>
      </c>
      <c r="E4" s="10"/>
      <c r="F4" s="116"/>
      <c r="G4" s="10"/>
      <c r="H4" s="10"/>
      <c r="I4" s="116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Y4" s="59" t="s">
        <v>287</v>
      </c>
    </row>
    <row r="5" spans="1:26" x14ac:dyDescent="0.55000000000000004">
      <c r="A5" t="s">
        <v>40</v>
      </c>
      <c r="B5" t="s">
        <v>100</v>
      </c>
      <c r="C5" t="s">
        <v>91</v>
      </c>
      <c r="D5" s="10">
        <v>3000</v>
      </c>
      <c r="E5" s="10"/>
      <c r="F5" s="116"/>
      <c r="G5" s="10">
        <f>1500+1500</f>
        <v>3000</v>
      </c>
      <c r="H5" s="10"/>
      <c r="I5" s="116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>
        <f t="shared" ref="W5:W10" si="0">J5+K5+L5+M5+N5+O5+P5+Q5+R5+S5+T5+U5+V5</f>
        <v>0</v>
      </c>
      <c r="X5" s="10">
        <f>D5-G5</f>
        <v>0</v>
      </c>
    </row>
    <row r="6" spans="1:26" x14ac:dyDescent="0.55000000000000004">
      <c r="A6" t="s">
        <v>41</v>
      </c>
      <c r="B6" t="s">
        <v>97</v>
      </c>
      <c r="C6" t="s">
        <v>121</v>
      </c>
      <c r="D6" s="10">
        <f>10740-1500</f>
        <v>9240</v>
      </c>
      <c r="E6" s="10"/>
      <c r="F6" s="116"/>
      <c r="G6" s="10">
        <v>9240</v>
      </c>
      <c r="H6" s="10"/>
      <c r="I6" s="116"/>
      <c r="P6" s="135"/>
      <c r="Q6" s="10"/>
      <c r="R6" s="10"/>
      <c r="S6" s="10"/>
      <c r="T6" s="10"/>
      <c r="U6" s="10"/>
      <c r="V6" s="10"/>
      <c r="W6" s="10">
        <f t="shared" si="0"/>
        <v>0</v>
      </c>
      <c r="X6" s="10">
        <f t="shared" ref="X6:X9" si="1">D6-G6</f>
        <v>0</v>
      </c>
    </row>
    <row r="7" spans="1:26" x14ac:dyDescent="0.55000000000000004">
      <c r="A7" t="s">
        <v>37</v>
      </c>
      <c r="B7" s="135" t="s">
        <v>101</v>
      </c>
      <c r="C7" s="135" t="s">
        <v>122</v>
      </c>
      <c r="D7" s="10">
        <f>15015-6710-1494</f>
        <v>6811</v>
      </c>
      <c r="E7" s="10"/>
      <c r="F7" s="116"/>
      <c r="G7" s="10">
        <v>6811</v>
      </c>
      <c r="H7" s="10"/>
      <c r="I7" s="116"/>
      <c r="Q7" s="10"/>
      <c r="R7" s="10"/>
      <c r="S7" s="10"/>
      <c r="T7" s="10"/>
      <c r="U7" s="10"/>
      <c r="V7" s="10"/>
      <c r="W7" s="10">
        <f t="shared" si="0"/>
        <v>0</v>
      </c>
      <c r="X7" s="10">
        <f t="shared" si="1"/>
        <v>0</v>
      </c>
      <c r="Y7" t="s">
        <v>230</v>
      </c>
      <c r="Z7" t="s">
        <v>231</v>
      </c>
    </row>
    <row r="8" spans="1:26" x14ac:dyDescent="0.55000000000000004">
      <c r="A8" t="s">
        <v>190</v>
      </c>
      <c r="B8" t="s">
        <v>105</v>
      </c>
      <c r="C8" t="s">
        <v>123</v>
      </c>
      <c r="D8" s="10"/>
      <c r="E8" s="10"/>
      <c r="F8" s="116"/>
      <c r="G8" s="10"/>
      <c r="H8" s="10"/>
      <c r="I8" s="116"/>
      <c r="Q8" s="10"/>
      <c r="R8" s="10"/>
      <c r="S8" s="10"/>
      <c r="T8" s="10"/>
      <c r="U8" s="10"/>
      <c r="V8" s="10"/>
      <c r="W8" s="10">
        <f t="shared" si="0"/>
        <v>0</v>
      </c>
      <c r="X8" s="10">
        <f t="shared" si="1"/>
        <v>0</v>
      </c>
    </row>
    <row r="9" spans="1:26" x14ac:dyDescent="0.55000000000000004">
      <c r="A9" t="s">
        <v>192</v>
      </c>
      <c r="B9" t="s">
        <v>105</v>
      </c>
      <c r="C9" t="s">
        <v>191</v>
      </c>
      <c r="D9" s="10">
        <f>1644-420</f>
        <v>1224</v>
      </c>
      <c r="E9" s="10"/>
      <c r="F9" s="116"/>
      <c r="G9" s="10">
        <v>1224</v>
      </c>
      <c r="H9" s="126"/>
      <c r="I9" s="116"/>
      <c r="Q9" s="10"/>
      <c r="R9" s="10"/>
      <c r="S9" s="10"/>
      <c r="T9" s="10"/>
      <c r="U9" s="10"/>
      <c r="V9" s="10"/>
      <c r="W9" s="10">
        <f t="shared" si="0"/>
        <v>0</v>
      </c>
      <c r="X9" s="10">
        <f t="shared" si="1"/>
        <v>0</v>
      </c>
      <c r="Y9" s="211" t="s">
        <v>230</v>
      </c>
      <c r="Z9" t="s">
        <v>286</v>
      </c>
    </row>
    <row r="10" spans="1:26" s="1" customFormat="1" ht="14.7" thickBot="1" x14ac:dyDescent="0.6">
      <c r="A10" s="159" t="s">
        <v>156</v>
      </c>
      <c r="D10" s="113">
        <f>SUM(D5:D9)</f>
        <v>20275</v>
      </c>
      <c r="E10" s="113"/>
      <c r="F10" s="163"/>
      <c r="G10" s="113">
        <f>SUM(G5:G9)</f>
        <v>20275</v>
      </c>
      <c r="H10" s="113">
        <f>SUM(H5:H9)</f>
        <v>0</v>
      </c>
      <c r="I10" s="163"/>
      <c r="J10" s="113">
        <f t="shared" ref="J10:V10" si="2">SUM(J5:J9)</f>
        <v>0</v>
      </c>
      <c r="K10" s="113">
        <f t="shared" si="2"/>
        <v>0</v>
      </c>
      <c r="L10" s="113">
        <f t="shared" si="2"/>
        <v>0</v>
      </c>
      <c r="M10" s="113">
        <f t="shared" si="2"/>
        <v>0</v>
      </c>
      <c r="N10" s="113">
        <f t="shared" si="2"/>
        <v>0</v>
      </c>
      <c r="O10" s="113">
        <f t="shared" si="2"/>
        <v>0</v>
      </c>
      <c r="P10" s="113">
        <f t="shared" si="2"/>
        <v>0</v>
      </c>
      <c r="Q10" s="113">
        <f t="shared" si="2"/>
        <v>0</v>
      </c>
      <c r="R10" s="113">
        <f t="shared" si="2"/>
        <v>0</v>
      </c>
      <c r="S10" s="113">
        <f t="shared" si="2"/>
        <v>0</v>
      </c>
      <c r="T10" s="113">
        <f t="shared" si="2"/>
        <v>0</v>
      </c>
      <c r="U10" s="113">
        <f t="shared" si="2"/>
        <v>0</v>
      </c>
      <c r="V10" s="113">
        <f t="shared" si="2"/>
        <v>0</v>
      </c>
      <c r="W10" s="113">
        <f t="shared" si="0"/>
        <v>0</v>
      </c>
      <c r="X10" s="113">
        <f>SUM(X5:X9)</f>
        <v>0</v>
      </c>
    </row>
    <row r="11" spans="1:26" ht="14.7" thickTop="1" x14ac:dyDescent="0.55000000000000004">
      <c r="D11" s="9"/>
      <c r="E11" s="10"/>
      <c r="F11" s="10"/>
      <c r="G11" s="9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6" x14ac:dyDescent="0.55000000000000004">
      <c r="A12" t="s">
        <v>53</v>
      </c>
      <c r="G12" s="10">
        <f>X10+G10</f>
        <v>20275</v>
      </c>
      <c r="H12" s="10"/>
      <c r="Q12" s="10"/>
      <c r="T12" t="s">
        <v>285</v>
      </c>
    </row>
    <row r="16" spans="1:26" x14ac:dyDescent="0.55000000000000004">
      <c r="A16" s="214" t="s">
        <v>257</v>
      </c>
      <c r="D16" s="211"/>
    </row>
    <row r="17" spans="1:4" x14ac:dyDescent="0.55000000000000004">
      <c r="A17" t="s">
        <v>258</v>
      </c>
      <c r="B17" s="226">
        <v>6710</v>
      </c>
      <c r="D17" s="211"/>
    </row>
    <row r="18" spans="1:4" x14ac:dyDescent="0.55000000000000004">
      <c r="A18" t="s">
        <v>259</v>
      </c>
      <c r="B18" s="226">
        <v>3000</v>
      </c>
      <c r="D18" s="211"/>
    </row>
    <row r="19" spans="1:4" x14ac:dyDescent="0.55000000000000004">
      <c r="A19" t="s">
        <v>260</v>
      </c>
      <c r="B19" s="239">
        <v>2595</v>
      </c>
    </row>
    <row r="20" spans="1:4" x14ac:dyDescent="0.55000000000000004">
      <c r="B20" s="226">
        <f>SUM(B17:B19)</f>
        <v>12305</v>
      </c>
    </row>
  </sheetData>
  <mergeCells count="1">
    <mergeCell ref="K2:V2"/>
  </mergeCells>
  <pageMargins left="0.7" right="0.7" top="0.75" bottom="0.75" header="0.3" footer="0.3"/>
  <pageSetup paperSize="9" scale="63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4"/>
  <sheetViews>
    <sheetView workbookViewId="0">
      <selection activeCell="W25" sqref="W25"/>
    </sheetView>
  </sheetViews>
  <sheetFormatPr defaultRowHeight="14.4" x14ac:dyDescent="0.55000000000000004"/>
  <cols>
    <col min="1" max="1" width="20.41796875" customWidth="1"/>
    <col min="2" max="2" width="6.26171875" customWidth="1"/>
    <col min="3" max="3" width="16.578125" customWidth="1"/>
    <col min="4" max="4" width="8" customWidth="1"/>
    <col min="5" max="5" width="7.26171875" customWidth="1"/>
    <col min="6" max="6" width="1.578125" customWidth="1"/>
    <col min="7" max="8" width="7.83984375" customWidth="1"/>
    <col min="9" max="9" width="1.578125" customWidth="1"/>
    <col min="10" max="10" width="7" hidden="1" customWidth="1"/>
    <col min="11" max="11" width="8" hidden="1" customWidth="1"/>
    <col min="12" max="12" width="7.26171875" hidden="1" customWidth="1"/>
    <col min="13" max="13" width="7.68359375" hidden="1" customWidth="1"/>
    <col min="14" max="14" width="8.41796875" hidden="1" customWidth="1"/>
    <col min="15" max="15" width="7.68359375" customWidth="1"/>
    <col min="16" max="17" width="8" bestFit="1" customWidth="1"/>
    <col min="18" max="19" width="7" bestFit="1" customWidth="1"/>
    <col min="20" max="20" width="6.83984375" customWidth="1"/>
    <col min="21" max="21" width="7" customWidth="1"/>
    <col min="22" max="22" width="10.578125" bestFit="1" customWidth="1"/>
    <col min="23" max="23" width="11.26171875" customWidth="1"/>
  </cols>
  <sheetData>
    <row r="1" spans="1:26" s="10" customFormat="1" x14ac:dyDescent="0.55000000000000004">
      <c r="A1" s="9" t="s">
        <v>0</v>
      </c>
      <c r="B1" s="9"/>
      <c r="C1" s="9"/>
      <c r="D1" s="2"/>
      <c r="E1" s="2"/>
      <c r="F1" s="2"/>
      <c r="G1" s="2"/>
      <c r="H1" s="2"/>
      <c r="I1" s="2"/>
    </row>
    <row r="2" spans="1:26" s="10" customFormat="1" x14ac:dyDescent="0.55000000000000004">
      <c r="A2" s="9"/>
      <c r="B2" s="9"/>
      <c r="C2" s="9"/>
      <c r="D2" s="2"/>
      <c r="E2" s="2"/>
      <c r="F2" s="2"/>
      <c r="G2" s="2"/>
      <c r="H2" s="2"/>
      <c r="I2" s="2"/>
      <c r="J2" s="153"/>
      <c r="K2" s="276">
        <v>2017</v>
      </c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9" t="s">
        <v>154</v>
      </c>
    </row>
    <row r="3" spans="1:26" s="10" customFormat="1" x14ac:dyDescent="0.55000000000000004">
      <c r="A3" s="11"/>
      <c r="B3" s="11"/>
      <c r="C3" s="11"/>
      <c r="D3" s="4" t="s">
        <v>2</v>
      </c>
      <c r="E3" s="4" t="s">
        <v>3</v>
      </c>
      <c r="F3" s="62"/>
      <c r="G3" s="4" t="s">
        <v>70</v>
      </c>
      <c r="H3" s="4" t="s">
        <v>144</v>
      </c>
      <c r="I3" s="62"/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142</v>
      </c>
      <c r="P3" s="9" t="s">
        <v>5</v>
      </c>
      <c r="Q3" s="9" t="s">
        <v>6</v>
      </c>
      <c r="R3" s="9" t="s">
        <v>7</v>
      </c>
      <c r="S3" s="9" t="s">
        <v>8</v>
      </c>
      <c r="T3" s="9" t="s">
        <v>9</v>
      </c>
      <c r="U3" s="9" t="s">
        <v>10</v>
      </c>
      <c r="V3" s="9" t="s">
        <v>68</v>
      </c>
      <c r="W3" s="9" t="s">
        <v>150</v>
      </c>
    </row>
    <row r="4" spans="1:26" s="10" customFormat="1" x14ac:dyDescent="0.55000000000000004">
      <c r="A4" s="9" t="s">
        <v>225</v>
      </c>
      <c r="B4" s="11"/>
      <c r="C4" s="11"/>
      <c r="D4" s="2">
        <f>Summary!I9</f>
        <v>56710</v>
      </c>
      <c r="E4" s="4"/>
      <c r="F4" s="62"/>
      <c r="G4" s="4"/>
      <c r="H4" s="4"/>
      <c r="I4" s="62"/>
      <c r="J4" s="120"/>
      <c r="K4" s="125"/>
      <c r="L4" s="124"/>
      <c r="M4" s="120"/>
      <c r="N4" s="120"/>
      <c r="O4" s="120"/>
      <c r="P4" s="120"/>
      <c r="Q4" s="120"/>
      <c r="R4" s="120"/>
      <c r="S4" s="11"/>
      <c r="T4" s="11"/>
      <c r="U4" s="11"/>
      <c r="V4" s="11"/>
    </row>
    <row r="5" spans="1:26" x14ac:dyDescent="0.55000000000000004">
      <c r="A5" t="s">
        <v>40</v>
      </c>
      <c r="B5" t="s">
        <v>100</v>
      </c>
      <c r="C5" t="s">
        <v>124</v>
      </c>
      <c r="D5" s="226">
        <v>3000</v>
      </c>
      <c r="E5" s="226"/>
      <c r="F5" s="227"/>
      <c r="G5" s="226">
        <v>3000</v>
      </c>
      <c r="H5" s="226"/>
      <c r="I5" s="227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>
        <f t="shared" ref="V5:V11" si="0">SUM(J5:U5)</f>
        <v>0</v>
      </c>
      <c r="W5" s="215">
        <f>D5-G5</f>
        <v>0</v>
      </c>
      <c r="Y5" s="237">
        <f t="shared" ref="Y5:Y10" si="1">W5-V5</f>
        <v>0</v>
      </c>
    </row>
    <row r="6" spans="1:26" x14ac:dyDescent="0.55000000000000004">
      <c r="A6" t="s">
        <v>41</v>
      </c>
      <c r="B6" t="s">
        <v>97</v>
      </c>
      <c r="C6" t="s">
        <v>125</v>
      </c>
      <c r="D6" s="226">
        <f>47000+6710</f>
        <v>53710</v>
      </c>
      <c r="E6" s="226"/>
      <c r="F6" s="227"/>
      <c r="G6" s="226">
        <v>53710</v>
      </c>
      <c r="H6" s="226"/>
      <c r="I6" s="227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>
        <f t="shared" si="0"/>
        <v>0</v>
      </c>
      <c r="W6" s="215">
        <f t="shared" ref="W6:W10" si="2">D6-G6</f>
        <v>0</v>
      </c>
      <c r="Y6" s="237">
        <f t="shared" si="1"/>
        <v>0</v>
      </c>
    </row>
    <row r="7" spans="1:26" x14ac:dyDescent="0.55000000000000004">
      <c r="A7" t="s">
        <v>37</v>
      </c>
      <c r="B7" t="s">
        <v>101</v>
      </c>
      <c r="C7" t="s">
        <v>126</v>
      </c>
      <c r="D7" s="226"/>
      <c r="E7" s="226"/>
      <c r="F7" s="227"/>
      <c r="G7" s="226"/>
      <c r="H7" s="226"/>
      <c r="I7" s="227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>
        <f t="shared" si="0"/>
        <v>0</v>
      </c>
      <c r="W7" s="215">
        <f t="shared" si="2"/>
        <v>0</v>
      </c>
      <c r="Y7" s="237">
        <f t="shared" si="1"/>
        <v>0</v>
      </c>
    </row>
    <row r="8" spans="1:26" x14ac:dyDescent="0.55000000000000004">
      <c r="A8" t="s">
        <v>33</v>
      </c>
      <c r="B8" t="s">
        <v>105</v>
      </c>
      <c r="C8" t="s">
        <v>127</v>
      </c>
      <c r="D8" s="226"/>
      <c r="E8" s="226"/>
      <c r="F8" s="227"/>
      <c r="G8" s="226"/>
      <c r="H8" s="226"/>
      <c r="I8" s="227"/>
      <c r="J8" s="226"/>
      <c r="K8" s="226"/>
      <c r="L8" s="226"/>
      <c r="M8" s="226"/>
      <c r="N8" s="226"/>
      <c r="O8" s="226"/>
      <c r="P8" s="226"/>
      <c r="Q8" s="226"/>
      <c r="R8" s="226"/>
      <c r="S8" s="249"/>
      <c r="T8" s="226"/>
      <c r="U8" s="226"/>
      <c r="V8" s="226">
        <f t="shared" si="0"/>
        <v>0</v>
      </c>
      <c r="W8" s="215">
        <f t="shared" si="2"/>
        <v>0</v>
      </c>
      <c r="Y8" s="237">
        <f t="shared" si="1"/>
        <v>0</v>
      </c>
      <c r="Z8" s="13"/>
    </row>
    <row r="9" spans="1:26" x14ac:dyDescent="0.55000000000000004">
      <c r="A9" t="s">
        <v>38</v>
      </c>
      <c r="B9" t="s">
        <v>105</v>
      </c>
      <c r="C9" t="s">
        <v>127</v>
      </c>
      <c r="D9" s="226"/>
      <c r="E9" s="226"/>
      <c r="F9" s="227"/>
      <c r="G9" s="226"/>
      <c r="H9" s="226"/>
      <c r="I9" s="227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>
        <f t="shared" si="0"/>
        <v>0</v>
      </c>
      <c r="W9" s="215">
        <f t="shared" si="2"/>
        <v>0</v>
      </c>
      <c r="Y9" s="237">
        <f t="shared" si="1"/>
        <v>0</v>
      </c>
    </row>
    <row r="10" spans="1:26" x14ac:dyDescent="0.55000000000000004">
      <c r="A10" t="s">
        <v>42</v>
      </c>
      <c r="D10" s="226"/>
      <c r="E10" s="226"/>
      <c r="F10" s="227"/>
      <c r="G10" s="226"/>
      <c r="H10" s="226"/>
      <c r="I10" s="227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>
        <f t="shared" si="0"/>
        <v>0</v>
      </c>
      <c r="W10" s="215">
        <f t="shared" si="2"/>
        <v>0</v>
      </c>
      <c r="Y10" s="237">
        <f t="shared" si="1"/>
        <v>0</v>
      </c>
    </row>
    <row r="11" spans="1:26" ht="14.7" thickBot="1" x14ac:dyDescent="0.6">
      <c r="A11" s="159" t="s">
        <v>156</v>
      </c>
      <c r="B11" s="1"/>
      <c r="C11" s="1"/>
      <c r="D11" s="113">
        <f>D4</f>
        <v>56710</v>
      </c>
      <c r="E11" s="113"/>
      <c r="F11" s="163"/>
      <c r="G11" s="113">
        <f>SUM(G5:G10)</f>
        <v>56710</v>
      </c>
      <c r="H11" s="113">
        <f>SUM(H5:H10)</f>
        <v>0</v>
      </c>
      <c r="I11" s="163"/>
      <c r="J11" s="113">
        <f t="shared" ref="J11:U11" si="3">SUM(J5:J10)</f>
        <v>0</v>
      </c>
      <c r="K11" s="113">
        <f t="shared" si="3"/>
        <v>0</v>
      </c>
      <c r="L11" s="113">
        <f t="shared" si="3"/>
        <v>0</v>
      </c>
      <c r="M11" s="113">
        <f t="shared" si="3"/>
        <v>0</v>
      </c>
      <c r="N11" s="113">
        <f t="shared" si="3"/>
        <v>0</v>
      </c>
      <c r="O11" s="113">
        <f t="shared" si="3"/>
        <v>0</v>
      </c>
      <c r="P11" s="113">
        <f t="shared" si="3"/>
        <v>0</v>
      </c>
      <c r="Q11" s="113">
        <f t="shared" si="3"/>
        <v>0</v>
      </c>
      <c r="R11" s="113">
        <f t="shared" si="3"/>
        <v>0</v>
      </c>
      <c r="S11" s="113">
        <f t="shared" si="3"/>
        <v>0</v>
      </c>
      <c r="T11" s="113">
        <f t="shared" si="3"/>
        <v>0</v>
      </c>
      <c r="U11" s="113">
        <f t="shared" si="3"/>
        <v>0</v>
      </c>
      <c r="V11" s="113">
        <f t="shared" si="0"/>
        <v>0</v>
      </c>
      <c r="W11" s="113">
        <f>SUM(W5:W10)</f>
        <v>0</v>
      </c>
    </row>
    <row r="12" spans="1:26" ht="14.7" thickTop="1" x14ac:dyDescent="0.55000000000000004">
      <c r="D12" s="9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6" x14ac:dyDescent="0.55000000000000004">
      <c r="A13" t="s">
        <v>53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6" x14ac:dyDescent="0.55000000000000004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</sheetData>
  <mergeCells count="1">
    <mergeCell ref="K2:V2"/>
  </mergeCells>
  <pageMargins left="0.7" right="0.7" top="0.75" bottom="0.75" header="0.3" footer="0.3"/>
  <pageSetup orientation="portrait" horizontalDpi="4294967294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7"/>
  <sheetViews>
    <sheetView zoomScale="91" zoomScaleNormal="91" workbookViewId="0">
      <selection activeCell="W6" sqref="W6"/>
    </sheetView>
  </sheetViews>
  <sheetFormatPr defaultRowHeight="14.4" x14ac:dyDescent="0.55000000000000004"/>
  <cols>
    <col min="1" max="1" width="32.41796875" customWidth="1"/>
    <col min="2" max="2" width="5.83984375" customWidth="1"/>
    <col min="3" max="3" width="16.26171875" customWidth="1"/>
    <col min="4" max="4" width="8.26171875" customWidth="1"/>
    <col min="5" max="5" width="7.83984375" customWidth="1"/>
    <col min="6" max="6" width="1.26171875" customWidth="1"/>
    <col min="7" max="7" width="7.26171875" customWidth="1"/>
    <col min="8" max="8" width="7.26171875" style="211" customWidth="1"/>
    <col min="9" max="9" width="1" customWidth="1"/>
    <col min="10" max="10" width="8" hidden="1" customWidth="1"/>
    <col min="11" max="11" width="7.26171875" hidden="1" customWidth="1"/>
    <col min="12" max="12" width="7.83984375" hidden="1" customWidth="1"/>
    <col min="13" max="14" width="7.41796875" hidden="1" customWidth="1"/>
    <col min="15" max="15" width="7.578125" hidden="1" customWidth="1"/>
    <col min="16" max="16" width="7.41796875" customWidth="1"/>
    <col min="17" max="17" width="7.83984375" customWidth="1"/>
    <col min="18" max="18" width="7.15625" customWidth="1"/>
    <col min="19" max="19" width="7" customWidth="1"/>
    <col min="20" max="20" width="7.578125" customWidth="1"/>
    <col min="21" max="21" width="7.15625" customWidth="1"/>
    <col min="22" max="22" width="6.41796875" customWidth="1"/>
    <col min="23" max="23" width="7" style="211" bestFit="1" customWidth="1"/>
    <col min="25" max="25" width="10.83984375" customWidth="1"/>
  </cols>
  <sheetData>
    <row r="1" spans="1:28" x14ac:dyDescent="0.55000000000000004">
      <c r="A1" s="9" t="s">
        <v>0</v>
      </c>
      <c r="B1" s="9"/>
      <c r="C1" s="9"/>
    </row>
    <row r="2" spans="1:28" s="10" customFormat="1" x14ac:dyDescent="0.55000000000000004">
      <c r="A2" s="9"/>
      <c r="B2" s="9"/>
      <c r="C2" s="9"/>
      <c r="D2" s="2"/>
      <c r="E2" s="2"/>
      <c r="F2" s="2"/>
      <c r="G2" s="2"/>
      <c r="H2" s="2"/>
      <c r="I2" s="2"/>
      <c r="J2" s="153">
        <v>2016</v>
      </c>
      <c r="K2" s="276">
        <v>2017</v>
      </c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0"/>
      <c r="X2" s="9"/>
      <c r="Y2" s="9" t="s">
        <v>154</v>
      </c>
    </row>
    <row r="3" spans="1:28" s="10" customFormat="1" x14ac:dyDescent="0.55000000000000004">
      <c r="A3" s="11"/>
      <c r="B3" s="11"/>
      <c r="C3" s="11"/>
      <c r="D3" s="4" t="s">
        <v>2</v>
      </c>
      <c r="E3" s="4" t="s">
        <v>3</v>
      </c>
      <c r="F3" s="62"/>
      <c r="G3" s="4" t="s">
        <v>70</v>
      </c>
      <c r="H3" s="4" t="s">
        <v>144</v>
      </c>
      <c r="I3" s="62"/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142</v>
      </c>
      <c r="P3" s="9" t="s">
        <v>5</v>
      </c>
      <c r="Q3" s="9" t="s">
        <v>6</v>
      </c>
      <c r="R3" s="9" t="s">
        <v>7</v>
      </c>
      <c r="S3" s="9" t="s">
        <v>8</v>
      </c>
      <c r="T3" s="9" t="s">
        <v>9</v>
      </c>
      <c r="U3" s="9" t="s">
        <v>10</v>
      </c>
      <c r="V3" s="9" t="s">
        <v>11</v>
      </c>
      <c r="W3" s="221" t="s">
        <v>214</v>
      </c>
      <c r="X3" s="9" t="s">
        <v>68</v>
      </c>
      <c r="Y3" s="9" t="s">
        <v>150</v>
      </c>
    </row>
    <row r="4" spans="1:28" x14ac:dyDescent="0.55000000000000004">
      <c r="A4" s="1" t="s">
        <v>45</v>
      </c>
      <c r="D4" s="9">
        <f>Summary!F11</f>
        <v>25420</v>
      </c>
      <c r="E4" s="10"/>
      <c r="F4" s="116"/>
      <c r="G4" s="10"/>
      <c r="H4" s="215"/>
      <c r="I4" s="116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215"/>
      <c r="X4" s="10"/>
    </row>
    <row r="5" spans="1:28" x14ac:dyDescent="0.55000000000000004">
      <c r="A5" t="s">
        <v>199</v>
      </c>
      <c r="B5" t="s">
        <v>97</v>
      </c>
      <c r="C5" t="s">
        <v>128</v>
      </c>
      <c r="D5" s="10">
        <v>20000</v>
      </c>
      <c r="E5" s="10"/>
      <c r="F5" s="116"/>
      <c r="G5" s="10">
        <v>20000</v>
      </c>
      <c r="H5" s="215"/>
      <c r="I5" s="116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215"/>
      <c r="X5" s="10">
        <f t="shared" ref="X5:X10" si="0">J5+K5+L5+M5+N5+O5+P5+Q5+R5+S5+T5+U5+V5</f>
        <v>0</v>
      </c>
      <c r="Y5" s="10">
        <f>D5-G5</f>
        <v>0</v>
      </c>
    </row>
    <row r="6" spans="1:28" x14ac:dyDescent="0.55000000000000004">
      <c r="A6" t="s">
        <v>201</v>
      </c>
      <c r="B6" t="s">
        <v>99</v>
      </c>
      <c r="C6" t="s">
        <v>278</v>
      </c>
      <c r="D6" s="10">
        <f>2000+3000</f>
        <v>5000</v>
      </c>
      <c r="E6" s="10"/>
      <c r="F6" s="116"/>
      <c r="G6" s="10">
        <f>216+5450</f>
        <v>5666</v>
      </c>
      <c r="H6" s="215"/>
      <c r="I6" s="116"/>
      <c r="J6" s="10"/>
      <c r="K6" s="10"/>
      <c r="L6" s="10"/>
      <c r="M6" s="10"/>
      <c r="N6" s="10"/>
      <c r="O6" s="10"/>
      <c r="P6" s="10"/>
      <c r="Q6" s="10"/>
      <c r="R6" s="215"/>
      <c r="S6" s="215"/>
      <c r="T6" s="10"/>
      <c r="U6" s="10">
        <f>5450-5450</f>
        <v>0</v>
      </c>
      <c r="V6" s="10"/>
      <c r="W6" s="215"/>
      <c r="X6" s="10">
        <f>J6+K6+L6+M6+N6+O6+P6+Q6+R6+S6+T6+U6+V6+W6</f>
        <v>0</v>
      </c>
      <c r="Y6" s="10">
        <f t="shared" ref="Y6:Y9" si="1">D6-G6</f>
        <v>-666</v>
      </c>
      <c r="AA6" s="215">
        <f>Y6-H6</f>
        <v>-666</v>
      </c>
      <c r="AB6" t="s">
        <v>313</v>
      </c>
    </row>
    <row r="7" spans="1:28" s="211" customFormat="1" x14ac:dyDescent="0.55000000000000004">
      <c r="A7" s="211" t="s">
        <v>284</v>
      </c>
      <c r="C7" s="211" t="s">
        <v>283</v>
      </c>
      <c r="D7" s="215"/>
      <c r="E7" s="215"/>
      <c r="F7" s="216"/>
      <c r="G7" s="215">
        <v>300</v>
      </c>
      <c r="H7" s="215"/>
      <c r="I7" s="216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>
        <f t="shared" ref="X7" si="2">J7+K7+L7+M7+N7+O7+P7+Q7+R7+S7+T7+U7+V7</f>
        <v>0</v>
      </c>
      <c r="Y7" s="215">
        <f t="shared" ref="Y7" si="3">D7-G7</f>
        <v>-300</v>
      </c>
      <c r="AA7" s="215">
        <f>Y7-H7</f>
        <v>-300</v>
      </c>
    </row>
    <row r="8" spans="1:28" x14ac:dyDescent="0.55000000000000004">
      <c r="A8" t="s">
        <v>279</v>
      </c>
      <c r="C8" s="211" t="s">
        <v>200</v>
      </c>
      <c r="D8" s="10">
        <f>420-7</f>
        <v>413</v>
      </c>
      <c r="E8" s="10"/>
      <c r="F8" s="116"/>
      <c r="G8" s="10">
        <v>592</v>
      </c>
      <c r="H8" s="215"/>
      <c r="I8" s="116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215"/>
      <c r="X8" s="10">
        <f t="shared" si="0"/>
        <v>0</v>
      </c>
      <c r="Y8" s="10">
        <f t="shared" si="1"/>
        <v>-179</v>
      </c>
      <c r="AA8" s="215">
        <f>Y8-H8</f>
        <v>-179</v>
      </c>
    </row>
    <row r="9" spans="1:28" x14ac:dyDescent="0.55000000000000004">
      <c r="A9" t="s">
        <v>209</v>
      </c>
      <c r="C9" t="s">
        <v>295</v>
      </c>
      <c r="D9" s="10">
        <v>7</v>
      </c>
      <c r="E9" s="10"/>
      <c r="F9" s="116"/>
      <c r="G9" s="10">
        <v>7</v>
      </c>
      <c r="H9" s="215"/>
      <c r="I9" s="116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215"/>
      <c r="X9" s="10">
        <f t="shared" si="0"/>
        <v>0</v>
      </c>
      <c r="Y9" s="10">
        <f t="shared" si="1"/>
        <v>0</v>
      </c>
      <c r="AA9" s="215"/>
    </row>
    <row r="10" spans="1:28" s="1" customFormat="1" ht="14.7" thickBot="1" x14ac:dyDescent="0.6">
      <c r="A10" s="159" t="s">
        <v>156</v>
      </c>
      <c r="D10" s="113">
        <f>D4</f>
        <v>25420</v>
      </c>
      <c r="E10" s="113"/>
      <c r="F10" s="163"/>
      <c r="G10" s="113">
        <f>SUM(G5:G9)</f>
        <v>26565</v>
      </c>
      <c r="H10" s="212">
        <f t="shared" ref="H10:I10" si="4">SUM(H5:H9)</f>
        <v>0</v>
      </c>
      <c r="I10" s="212">
        <f t="shared" si="4"/>
        <v>0</v>
      </c>
      <c r="J10" s="113">
        <f t="shared" ref="J10:S10" si="5">SUM(J5:J9)</f>
        <v>0</v>
      </c>
      <c r="K10" s="113">
        <f t="shared" si="5"/>
        <v>0</v>
      </c>
      <c r="L10" s="113">
        <f t="shared" si="5"/>
        <v>0</v>
      </c>
      <c r="M10" s="113">
        <f t="shared" si="5"/>
        <v>0</v>
      </c>
      <c r="N10" s="113">
        <f t="shared" si="5"/>
        <v>0</v>
      </c>
      <c r="O10" s="113">
        <f t="shared" si="5"/>
        <v>0</v>
      </c>
      <c r="P10" s="113">
        <f t="shared" si="5"/>
        <v>0</v>
      </c>
      <c r="Q10" s="113">
        <f t="shared" si="5"/>
        <v>0</v>
      </c>
      <c r="R10" s="113">
        <f t="shared" si="5"/>
        <v>0</v>
      </c>
      <c r="S10" s="113">
        <f t="shared" si="5"/>
        <v>0</v>
      </c>
      <c r="T10" s="113">
        <f>SUM(T5:T9)</f>
        <v>0</v>
      </c>
      <c r="U10" s="113">
        <f t="shared" ref="U10:W10" si="6">SUM(U5:U9)</f>
        <v>0</v>
      </c>
      <c r="V10" s="113">
        <f t="shared" si="6"/>
        <v>0</v>
      </c>
      <c r="W10" s="212">
        <f t="shared" si="6"/>
        <v>0</v>
      </c>
      <c r="X10" s="113">
        <f t="shared" si="0"/>
        <v>0</v>
      </c>
      <c r="Y10" s="113">
        <f>SUM(Y5:Y9)</f>
        <v>-1145</v>
      </c>
      <c r="AA10" s="1">
        <f>SUM(AA5:AA9)</f>
        <v>-1145</v>
      </c>
      <c r="AB10" s="13" t="s">
        <v>282</v>
      </c>
    </row>
    <row r="11" spans="1:28" ht="14.7" thickTop="1" x14ac:dyDescent="0.55000000000000004">
      <c r="D11" s="9"/>
      <c r="E11" s="10"/>
      <c r="F11" s="10"/>
      <c r="G11" s="10"/>
      <c r="H11" s="215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215"/>
      <c r="X11" s="10"/>
    </row>
    <row r="12" spans="1:28" x14ac:dyDescent="0.55000000000000004">
      <c r="A12" t="s">
        <v>55</v>
      </c>
      <c r="D12" s="10"/>
      <c r="E12" s="10"/>
      <c r="F12" s="10"/>
      <c r="G12" s="10"/>
      <c r="H12" s="215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215"/>
      <c r="X12" s="10"/>
    </row>
    <row r="13" spans="1:28" x14ac:dyDescent="0.55000000000000004">
      <c r="D13" s="10"/>
      <c r="E13" s="10"/>
      <c r="F13" s="10"/>
      <c r="G13" s="10"/>
      <c r="H13" s="215"/>
      <c r="I13" s="10"/>
      <c r="J13" s="10"/>
      <c r="K13" s="10"/>
      <c r="L13" s="10"/>
      <c r="M13" s="10"/>
      <c r="N13" s="10"/>
      <c r="O13" s="10"/>
      <c r="P13" s="10"/>
      <c r="Q13" s="10"/>
      <c r="R13" s="10"/>
      <c r="U13" s="10" t="s">
        <v>319</v>
      </c>
      <c r="V13" s="10"/>
      <c r="W13" s="215"/>
      <c r="X13" s="10"/>
    </row>
    <row r="14" spans="1:28" x14ac:dyDescent="0.55000000000000004">
      <c r="D14" s="10"/>
      <c r="E14" s="10"/>
      <c r="F14" s="10"/>
      <c r="G14" s="215"/>
      <c r="H14" s="215"/>
      <c r="I14" s="10"/>
      <c r="J14" s="10"/>
      <c r="K14" s="10"/>
      <c r="L14" s="10"/>
      <c r="M14" s="10"/>
      <c r="N14" s="10"/>
      <c r="O14" s="10"/>
      <c r="P14" s="215"/>
      <c r="Q14" s="10"/>
      <c r="R14" s="10"/>
      <c r="S14" s="10"/>
      <c r="T14" s="10"/>
      <c r="U14" s="10"/>
      <c r="V14" s="10"/>
      <c r="W14" s="215"/>
      <c r="X14" s="10"/>
    </row>
    <row r="15" spans="1:28" x14ac:dyDescent="0.55000000000000004">
      <c r="G15" s="215"/>
      <c r="P15" s="215"/>
    </row>
    <row r="16" spans="1:28" x14ac:dyDescent="0.55000000000000004">
      <c r="G16" s="215"/>
    </row>
    <row r="17" spans="7:7" x14ac:dyDescent="0.55000000000000004">
      <c r="G17" s="215"/>
    </row>
  </sheetData>
  <mergeCells count="1">
    <mergeCell ref="K2:V2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0129174-c05c-43cc-8e32-21fcbdfe51bb">
      <UserInfo>
        <DisplayName>mail@hazelcolquhoun.com</DisplayName>
        <AccountId>1358</AccountId>
        <AccountType/>
      </UserInfo>
      <UserInfo>
        <DisplayName>Sam Hunt</DisplayName>
        <AccountId>50</AccountId>
        <AccountType/>
      </UserInfo>
      <UserInfo>
        <DisplayName>Hannah Williams Walton</DisplayName>
        <AccountId>48</AccountId>
        <AccountType/>
      </UserInfo>
      <UserInfo>
        <DisplayName>Glenn Harley</DisplayName>
        <AccountId>83</AccountId>
        <AccountType/>
      </UserInfo>
    </SharedWithUsers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319C84-984D-4A42-9F6C-D150027999B4}">
  <ds:schemaRefs>
    <ds:schemaRef ds:uri="http://schemas.microsoft.com/office/2006/documentManagement/types"/>
    <ds:schemaRef ds:uri="http://www.w3.org/XML/1998/namespace"/>
    <ds:schemaRef ds:uri="http://purl.org/dc/terms/"/>
    <ds:schemaRef ds:uri="80129174-c05c-43cc-8e32-21fcbdfe51bb"/>
    <ds:schemaRef ds:uri="http://purl.org/dc/elements/1.1/"/>
    <ds:schemaRef ds:uri="958b15ed-c521-4290-b073-2e98d4cc1d7f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sharepoint/v3/field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F92D6FE-F453-4D9D-AD14-0D6C9B4CE2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35E339-43C7-4849-BD2A-19557789C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958b15ed-c521-4290-b073-2e98d4cc1d7f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Summary</vt:lpstr>
      <vt:lpstr>Opps-Threats</vt:lpstr>
      <vt:lpstr>Live C030</vt:lpstr>
      <vt:lpstr>Blade C031 (closed)</vt:lpstr>
      <vt:lpstr>Deep Dobro C033 (closed)</vt:lpstr>
      <vt:lpstr>Pinsky C034</vt:lpstr>
      <vt:lpstr>Transmigration C035 (closed)</vt:lpstr>
      <vt:lpstr>P Quay Morgan C036 (closed)</vt:lpstr>
      <vt:lpstr>HSAD Bob C038</vt:lpstr>
      <vt:lpstr>GFSmith Paper City C039</vt:lpstr>
      <vt:lpstr>Deep Kovats C041(closed)</vt:lpstr>
      <vt:lpstr>RIBA C042</vt:lpstr>
      <vt:lpstr>P Quay Xmas C044</vt:lpstr>
      <vt:lpstr>Deep No3 C045</vt:lpstr>
      <vt:lpstr>Hull Xmas Lts C046</vt:lpstr>
      <vt:lpstr>Forecast for Management accs</vt:lpstr>
      <vt:lpstr>Open PO's as at 11.12.17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colquhoun</dc:creator>
  <cp:lastModifiedBy>Glenn Harley</cp:lastModifiedBy>
  <cp:lastPrinted>2017-12-13T10:49:17Z</cp:lastPrinted>
  <dcterms:created xsi:type="dcterms:W3CDTF">2016-05-26T09:42:23Z</dcterms:created>
  <dcterms:modified xsi:type="dcterms:W3CDTF">2018-01-16T17:10:42Z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