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23040" windowHeight="8532"/>
  </bookViews>
  <sheets>
    <sheet name="Budget" sheetId="1" r:id="rId1"/>
    <sheet name="Schedule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4" i="1"/>
  <c r="D36" i="1"/>
  <c r="E34" i="1"/>
  <c r="E32" i="1"/>
  <c r="E31" i="1"/>
  <c r="D32" i="1"/>
  <c r="D31" i="1"/>
  <c r="D14" i="1"/>
  <c r="D19" i="1"/>
  <c r="D16" i="1"/>
  <c r="D24" i="1"/>
  <c r="D21" i="1"/>
  <c r="D22" i="1"/>
  <c r="D26" i="1"/>
  <c r="D28" i="1"/>
  <c r="D29" i="1"/>
  <c r="E14" i="1"/>
  <c r="E19" i="1"/>
  <c r="E16" i="1"/>
  <c r="E24" i="1"/>
  <c r="E21" i="1"/>
  <c r="E22" i="1"/>
  <c r="E26" i="1"/>
  <c r="E28" i="1"/>
  <c r="E29" i="1"/>
  <c r="C14" i="1"/>
  <c r="C19" i="1"/>
  <c r="C16" i="1"/>
  <c r="C24" i="1"/>
  <c r="C21" i="1"/>
  <c r="C22" i="1"/>
  <c r="C26" i="1"/>
  <c r="C40" i="1"/>
  <c r="C41" i="1"/>
  <c r="C42" i="1"/>
  <c r="C28" i="1"/>
  <c r="C43" i="1"/>
  <c r="C8" i="2"/>
  <c r="C29" i="1"/>
  <c r="D40" i="1"/>
  <c r="E40" i="1"/>
  <c r="D42" i="1"/>
  <c r="D41" i="1"/>
  <c r="D43" i="1"/>
  <c r="E41" i="1"/>
  <c r="E42" i="1"/>
  <c r="E43" i="1"/>
</calcChain>
</file>

<file path=xl/sharedStrings.xml><?xml version="1.0" encoding="utf-8"?>
<sst xmlns="http://schemas.openxmlformats.org/spreadsheetml/2006/main" count="73" uniqueCount="63">
  <si>
    <t>Forecast</t>
  </si>
  <si>
    <t>Show</t>
  </si>
  <si>
    <t>Flood Part 2</t>
  </si>
  <si>
    <t>Flood Part 4</t>
  </si>
  <si>
    <t>Company</t>
  </si>
  <si>
    <t>Slung Low</t>
  </si>
  <si>
    <t>Venue</t>
  </si>
  <si>
    <t>Vic Dock</t>
  </si>
  <si>
    <t>Date</t>
  </si>
  <si>
    <t>Time</t>
  </si>
  <si>
    <t>TBC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</si>
  <si>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</si>
  <si>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</si>
  <si>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</si>
  <si>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</si>
  <si>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</si>
  <si>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</si>
  <si>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 @ £12.50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</si>
  <si>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</si>
  <si>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</si>
  <si>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</si>
  <si>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</si>
  <si>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</si>
  <si>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Average Ticket Yield (£)</t>
  </si>
  <si>
    <t>Number of performances</t>
  </si>
  <si>
    <t>Gross Box Office</t>
  </si>
  <si>
    <t>Merchant fee / Spektrix</t>
  </si>
  <si>
    <t>VAT element</t>
  </si>
  <si>
    <t>Models</t>
  </si>
  <si>
    <t>Total Box Office</t>
  </si>
  <si>
    <t>Spektrix fee</t>
  </si>
  <si>
    <t>Merchant fee</t>
  </si>
  <si>
    <t xml:space="preserve">Total Box Office minus credit cards &amp; VAT Check </t>
  </si>
  <si>
    <t>8pm</t>
  </si>
  <si>
    <t>77mins</t>
  </si>
  <si>
    <t xml:space="preserve">  Total Paid Attendance</t>
  </si>
  <si>
    <t xml:space="preserve">  Expected Total Ticket Yield Per Perf </t>
  </si>
  <si>
    <t xml:space="preserve">Net Box Office Income </t>
  </si>
  <si>
    <t>Deficit/Surplus</t>
  </si>
  <si>
    <t xml:space="preserve">Net Income </t>
  </si>
  <si>
    <t>Box Office Data</t>
  </si>
  <si>
    <t xml:space="preserve">Schedule </t>
  </si>
  <si>
    <t>w/c 2 Oct</t>
  </si>
  <si>
    <t xml:space="preserve">w/c 9 Oct </t>
  </si>
  <si>
    <t xml:space="preserve">Week commencing </t>
  </si>
  <si>
    <t xml:space="preserve">Perf days </t>
  </si>
  <si>
    <t xml:space="preserve">No Perfs </t>
  </si>
  <si>
    <t xml:space="preserve">TOTAL PERFORMANCES </t>
  </si>
  <si>
    <t xml:space="preserve">Slung Low - Extension Schedule </t>
  </si>
  <si>
    <t xml:space="preserve">APRIL </t>
  </si>
  <si>
    <t>OCT - 2 WEEK</t>
  </si>
  <si>
    <t xml:space="preserve">OCT - 3 WEEK </t>
  </si>
  <si>
    <t>&gt; 26-29 September</t>
  </si>
  <si>
    <t>&gt; 3-7 October</t>
  </si>
  <si>
    <t>&gt; 10-14 October</t>
  </si>
  <si>
    <t xml:space="preserve">w/c 25 Sept </t>
  </si>
  <si>
    <t xml:space="preserve">Tues, Weds, Thurs, Fri </t>
  </si>
  <si>
    <t>Tues x 2, Weds x 2, Thurs x 2, Fri x 2, Sat x 2</t>
  </si>
  <si>
    <t xml:space="preserve">Existing box office </t>
  </si>
  <si>
    <t xml:space="preserve">3hrs </t>
  </si>
  <si>
    <t>Dependant</t>
  </si>
  <si>
    <t>Expenditure Show</t>
  </si>
  <si>
    <t>Expeniture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</si>
</sst>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(#,##0\)"/>
    <numFmt numFmtId="165" formatCode="_(&quot;£&quot;* #,##0.00_);_(&quot;£&quot;* \(#,##0.00\);_(&quot;£&quot;* &quot;-&quot;??_);_(@_)"/>
    <numFmt numFmtId="166" formatCode="#,##0_ ;[Red]\-#,##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Geneva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3" fillId="0" borderId="0"/>
    <xf numFmtId="0" fontId="4" fillId="0" borderId="0" applyNumberFormat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Fill="1"/>
    <xf numFmtId="164" fontId="6" fillId="0" borderId="0" xfId="0" applyNumberFormat="1" applyFont="1" applyFill="1" applyBorder="1"/>
    <xf numFmtId="0" fontId="7" fillId="0" borderId="0" xfId="3" applyFont="1"/>
    <xf numFmtId="165" fontId="0" fillId="0" borderId="0" xfId="0" applyNumberFormat="1"/>
    <xf numFmtId="165" fontId="11" fillId="0" borderId="0" xfId="0" applyNumberFormat="1" applyFont="1"/>
    <xf numFmtId="0" fontId="12" fillId="0" borderId="0" xfId="0" applyFont="1"/>
    <xf numFmtId="0" fontId="7" fillId="0" borderId="9" xfId="3" applyFont="1" applyBorder="1"/>
    <xf numFmtId="0" fontId="7" fillId="0" borderId="3" xfId="3" applyFont="1" applyBorder="1"/>
    <xf numFmtId="0" fontId="7" fillId="0" borderId="0" xfId="3" applyFont="1" applyBorder="1" applyAlignment="1">
      <alignment vertical="top"/>
    </xf>
    <xf numFmtId="0" fontId="7" fillId="0" borderId="10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1" xfId="3" applyFont="1" applyBorder="1"/>
    <xf numFmtId="43" fontId="7" fillId="0" borderId="1" xfId="3" applyNumberFormat="1" applyFont="1" applyBorder="1" applyAlignment="1">
      <alignment vertical="top"/>
    </xf>
    <xf numFmtId="0" fontId="13" fillId="0" borderId="0" xfId="0" applyFont="1"/>
    <xf numFmtId="43" fontId="7" fillId="0" borderId="0" xfId="3" applyNumberFormat="1" applyFont="1" applyBorder="1" applyAlignment="1">
      <alignment vertical="top"/>
    </xf>
    <xf numFmtId="166" fontId="8" fillId="0" borderId="6" xfId="3" applyNumberFormat="1" applyFont="1" applyBorder="1" applyAlignment="1">
      <alignment horizontal="center"/>
    </xf>
    <xf numFmtId="166" fontId="8" fillId="0" borderId="7" xfId="4" applyNumberFormat="1" applyFont="1" applyBorder="1" applyAlignment="1">
      <alignment horizontal="center"/>
    </xf>
    <xf numFmtId="166" fontId="8" fillId="0" borderId="9" xfId="3" applyNumberFormat="1" applyFont="1" applyBorder="1" applyAlignment="1">
      <alignment horizontal="right" vertical="top" wrapText="1"/>
    </xf>
    <xf numFmtId="166" fontId="8" fillId="0" borderId="7" xfId="3" applyNumberFormat="1" applyFont="1" applyFill="1" applyBorder="1" applyAlignment="1">
      <alignment horizontal="center" vertical="top" wrapText="1"/>
    </xf>
    <xf numFmtId="166" fontId="7" fillId="2" borderId="7" xfId="3" applyNumberFormat="1" applyFont="1" applyFill="1" applyBorder="1" applyAlignment="1">
      <alignment horizontal="center" wrapText="1"/>
    </xf>
    <xf numFmtId="166" fontId="7" fillId="0" borderId="7" xfId="3" applyNumberFormat="1" applyFont="1" applyBorder="1" applyAlignment="1">
      <alignment horizontal="center" wrapText="1"/>
    </xf>
    <xf numFmtId="166" fontId="9" fillId="0" borderId="9" xfId="4" applyNumberFormat="1" applyFont="1" applyBorder="1" applyAlignment="1"/>
    <xf numFmtId="166" fontId="7" fillId="0" borderId="7" xfId="4" applyNumberFormat="1" applyFont="1" applyBorder="1" applyAlignment="1"/>
    <xf numFmtId="166" fontId="10" fillId="3" borderId="9" xfId="4" applyNumberFormat="1" applyFont="1" applyFill="1" applyBorder="1" applyAlignment="1"/>
    <xf numFmtId="166" fontId="10" fillId="0" borderId="7" xfId="4" quotePrefix="1" applyNumberFormat="1" applyFont="1" applyBorder="1" applyAlignment="1">
      <alignment horizontal="right"/>
    </xf>
    <xf numFmtId="166" fontId="7" fillId="3" borderId="9" xfId="4" applyNumberFormat="1" applyFont="1" applyFill="1" applyBorder="1" applyAlignment="1"/>
    <xf numFmtId="166" fontId="10" fillId="4" borderId="7" xfId="4" quotePrefix="1" applyNumberFormat="1" applyFont="1" applyFill="1" applyBorder="1" applyAlignment="1">
      <alignment horizontal="right"/>
    </xf>
    <xf numFmtId="166" fontId="10" fillId="4" borderId="7" xfId="1" applyNumberFormat="1" applyFont="1" applyFill="1" applyBorder="1"/>
    <xf numFmtId="166" fontId="10" fillId="3" borderId="7" xfId="4" applyNumberFormat="1" applyFont="1" applyFill="1" applyBorder="1"/>
    <xf numFmtId="166" fontId="7" fillId="0" borderId="9" xfId="4" applyNumberFormat="1" applyFont="1" applyFill="1" applyBorder="1" applyAlignment="1"/>
    <xf numFmtId="166" fontId="10" fillId="0" borderId="7" xfId="2" applyNumberFormat="1" applyFont="1" applyFill="1" applyBorder="1"/>
    <xf numFmtId="166" fontId="10" fillId="4" borderId="7" xfId="4" applyNumberFormat="1" applyFont="1" applyFill="1" applyBorder="1"/>
    <xf numFmtId="166" fontId="10" fillId="0" borderId="7" xfId="1" applyNumberFormat="1" applyFont="1" applyFill="1" applyBorder="1"/>
    <xf numFmtId="166" fontId="10" fillId="0" borderId="7" xfId="4" applyNumberFormat="1" applyFont="1" applyFill="1" applyBorder="1"/>
    <xf numFmtId="166" fontId="7" fillId="3" borderId="9" xfId="4" applyNumberFormat="1" applyFont="1" applyFill="1" applyBorder="1" applyAlignment="1">
      <alignment horizontal="left"/>
    </xf>
    <xf numFmtId="166" fontId="8" fillId="3" borderId="7" xfId="4" applyNumberFormat="1" applyFont="1" applyFill="1" applyBorder="1" applyAlignment="1">
      <alignment horizontal="right"/>
    </xf>
    <xf numFmtId="166" fontId="8" fillId="3" borderId="7" xfId="4" applyNumberFormat="1" applyFont="1" applyFill="1" applyBorder="1"/>
    <xf numFmtId="166" fontId="7" fillId="0" borderId="9" xfId="4" applyNumberFormat="1" applyFont="1" applyFill="1" applyBorder="1"/>
    <xf numFmtId="166" fontId="7" fillId="4" borderId="7" xfId="4" applyNumberFormat="1" applyFont="1" applyFill="1" applyBorder="1"/>
    <xf numFmtId="166" fontId="7" fillId="0" borderId="9" xfId="4" applyNumberFormat="1" applyFont="1" applyBorder="1" applyAlignment="1"/>
    <xf numFmtId="166" fontId="7" fillId="0" borderId="7" xfId="4" applyNumberFormat="1" applyFont="1" applyBorder="1"/>
    <xf numFmtId="166" fontId="7" fillId="0" borderId="9" xfId="4" applyNumberFormat="1" applyFont="1" applyBorder="1" applyAlignment="1">
      <alignment horizontal="left"/>
    </xf>
    <xf numFmtId="166" fontId="7" fillId="2" borderId="7" xfId="4" applyNumberFormat="1" applyFont="1" applyFill="1" applyBorder="1"/>
    <xf numFmtId="166" fontId="7" fillId="0" borderId="1" xfId="4" applyNumberFormat="1" applyFont="1" applyFill="1" applyBorder="1"/>
    <xf numFmtId="166" fontId="8" fillId="0" borderId="2" xfId="4" applyNumberFormat="1" applyFont="1" applyFill="1" applyBorder="1"/>
    <xf numFmtId="166" fontId="8" fillId="0" borderId="6" xfId="4" applyNumberFormat="1" applyFont="1" applyFill="1" applyBorder="1"/>
    <xf numFmtId="166" fontId="8" fillId="0" borderId="9" xfId="4" applyNumberFormat="1" applyFont="1" applyFill="1" applyBorder="1"/>
    <xf numFmtId="166" fontId="7" fillId="0" borderId="7" xfId="4" applyNumberFormat="1" applyFont="1" applyFill="1" applyBorder="1"/>
    <xf numFmtId="166" fontId="8" fillId="0" borderId="11" xfId="4" applyNumberFormat="1" applyFont="1" applyFill="1" applyBorder="1"/>
    <xf numFmtId="166" fontId="8" fillId="0" borderId="8" xfId="4" applyNumberFormat="1" applyFont="1" applyFill="1" applyBorder="1"/>
    <xf numFmtId="166" fontId="7" fillId="0" borderId="2" xfId="4" applyNumberFormat="1" applyFont="1" applyFill="1" applyBorder="1"/>
    <xf numFmtId="166" fontId="7" fillId="0" borderId="6" xfId="4" applyNumberFormat="1" applyFont="1" applyFill="1" applyBorder="1"/>
    <xf numFmtId="166" fontId="8" fillId="0" borderId="7" xfId="4" applyNumberFormat="1" applyFont="1" applyFill="1" applyBorder="1"/>
    <xf numFmtId="166" fontId="7" fillId="0" borderId="9" xfId="4" applyNumberFormat="1" applyFont="1" applyBorder="1"/>
    <xf numFmtId="166" fontId="7" fillId="0" borderId="11" xfId="4" applyNumberFormat="1" applyFont="1" applyBorder="1"/>
    <xf numFmtId="166" fontId="7" fillId="0" borderId="8" xfId="4" applyNumberFormat="1" applyFont="1" applyBorder="1"/>
    <xf numFmtId="166" fontId="8" fillId="0" borderId="2" xfId="4" applyNumberFormat="1" applyFont="1" applyBorder="1" applyAlignment="1">
      <alignment horizontal="left" vertical="center"/>
    </xf>
    <xf numFmtId="166" fontId="8" fillId="0" borderId="9" xfId="4" applyNumberFormat="1" applyFont="1" applyBorder="1" applyAlignment="1">
      <alignment horizontal="left" vertical="center"/>
    </xf>
    <xf numFmtId="0" fontId="7" fillId="0" borderId="10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2" builtinId="3"/>
    <cellStyle name="Geneva" xfId="5"/>
    <cellStyle name="Normal" xfId="0" builtinId="0"/>
    <cellStyle name="Normal 3" xfId="3"/>
    <cellStyle name="Normal_Showact2000" xfId="4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7"/>
  <sheetViews>
    <sheetView tabSelected="1" topLeftCell="A8" zoomScale="90" zoomScaleNormal="90" workbookViewId="0">
      <selection activeCell="E29" sqref="E29"/>
    </sheetView>
  </sheetViews>
  <sheetFormatPr defaultRowHeight="13.8"/>
  <cols>
    <col min="1" max="1" width="8.88671875" style="1"/>
    <col min="2" max="2" width="44.6640625" style="4" bestFit="1" customWidth="1"/>
    <col min="3" max="5" width="15.109375" style="4" customWidth="1"/>
    <col min="6" max="16384" width="8.88671875" style="1"/>
  </cols>
  <sheetData>
    <row r="1" spans="2:5">
      <c r="C1" s="1"/>
      <c r="D1" s="1"/>
      <c r="E1" s="1"/>
    </row>
    <row r="2" spans="2:5">
      <c r="B2" s="59"/>
      <c r="C2" s="18" t="s">
        <v>0</v>
      </c>
      <c r="D2" s="18" t="s">
        <v>0</v>
      </c>
      <c r="E2" s="18" t="s">
        <v>0</v>
      </c>
    </row>
    <row r="3" spans="2:5">
      <c r="B3" s="60"/>
      <c r="C3" s="19"/>
      <c r="D3" s="19"/>
      <c r="E3" s="19"/>
    </row>
    <row r="4" spans="2:5">
      <c r="B4" s="20" t="s">
        <v>1</v>
      </c>
      <c r="C4" s="21" t="s">
        <v>2</v>
      </c>
      <c r="D4" s="21" t="s">
        <v>2</v>
      </c>
      <c r="E4" s="21" t="s">
        <v>3</v>
      </c>
    </row>
    <row r="5" spans="2:5">
      <c r="B5" s="20" t="s">
        <v>4</v>
      </c>
      <c r="C5" s="21" t="s">
        <v>5</v>
      </c>
      <c r="D5" s="21" t="s">
        <v>5</v>
      </c>
      <c r="E5" s="21" t="s">
        <v>5</v>
      </c>
    </row>
    <row r="6" spans="2:5">
      <c r="B6" s="20" t="s">
        <v>6</v>
      </c>
      <c r="C6" s="22" t="s">
        <v>7</v>
      </c>
      <c r="D6" s="22" t="s">
        <v>7</v>
      </c>
      <c r="E6" s="22" t="s">
        <v>7</v>
      </c>
    </row>
    <row r="7" spans="2:5">
      <c r="B7" s="20" t="s">
        <v>8</v>
      </c>
      <c r="C7" s="22" t="s">
        <v>49</v>
      </c>
      <c r="D7" s="22" t="s">
        <v>50</v>
      </c>
      <c r="E7" s="22" t="s">
        <v>51</v>
      </c>
    </row>
    <row r="8" spans="2:5">
      <c r="B8" s="20" t="s">
        <v>9</v>
      </c>
      <c r="C8" s="22" t="s">
        <v>33</v>
      </c>
      <c r="D8" s="22" t="s">
        <v>10</v>
      </c>
      <c r="E8" s="22" t="s">
        <v>10</v>
      </c>
    </row>
    <row r="9" spans="2:5">
      <c r="B9" s="20" t="s">
        <v>11</v>
      </c>
      <c r="C9" s="23" t="s">
        <v>34</v>
      </c>
      <c r="D9" s="23" t="s">
        <v>60</v>
      </c>
      <c r="E9" s="23" t="s">
        <v>59</v>
      </c>
    </row>
    <row r="10" spans="2:5">
      <c r="B10" s="24" t="s">
        <v>12</v>
      </c>
      <c r="C10" s="25"/>
      <c r="D10" s="25"/>
      <c r="E10" s="25"/>
    </row>
    <row r="11" spans="2:5">
      <c r="B11" s="26" t="s">
        <v>13</v>
      </c>
      <c r="C11" s="27"/>
      <c r="D11" s="27"/>
      <c r="E11" s="27"/>
    </row>
    <row r="12" spans="2:5">
      <c r="B12" s="28" t="s">
        <v>14</v>
      </c>
      <c r="C12" s="29">
        <v>400</v>
      </c>
      <c r="D12" s="29">
        <v>400</v>
      </c>
      <c r="E12" s="29">
        <v>400</v>
      </c>
    </row>
    <row r="13" spans="2:5">
      <c r="B13" s="28" t="s">
        <v>15</v>
      </c>
      <c r="C13" s="30">
        <v>1</v>
      </c>
      <c r="D13" s="30">
        <v>0.7</v>
      </c>
      <c r="E13" s="30">
        <v>0.7</v>
      </c>
    </row>
    <row r="14" spans="2:5">
      <c r="B14" s="28" t="s">
        <v>16</v>
      </c>
      <c r="C14" s="31">
        <f>+C12*C13</f>
        <v>400</v>
      </c>
      <c r="D14" s="31">
        <f>+D12*D13</f>
        <v>280</v>
      </c>
      <c r="E14" s="31">
        <f>+E12*E13</f>
        <v>280</v>
      </c>
    </row>
    <row r="15" spans="2:5">
      <c r="B15" s="32" t="s">
        <v>17</v>
      </c>
      <c r="C15" s="30">
        <v>0.8</v>
      </c>
      <c r="D15" s="30">
        <v>0.7</v>
      </c>
      <c r="E15" s="30">
        <v>0.7</v>
      </c>
    </row>
    <row r="16" spans="2:5">
      <c r="B16" s="32" t="s">
        <v>18</v>
      </c>
      <c r="C16" s="33">
        <f>+C14*C15</f>
        <v>320</v>
      </c>
      <c r="D16" s="33">
        <f>+D14*D15</f>
        <v>196</v>
      </c>
      <c r="E16" s="33">
        <f>+E14*E15</f>
        <v>196</v>
      </c>
    </row>
    <row r="17" spans="2:5">
      <c r="B17" s="32" t="s">
        <v>19</v>
      </c>
      <c r="C17" s="34">
        <v>12.5</v>
      </c>
      <c r="D17" s="34">
        <v>12.5</v>
      </c>
      <c r="E17" s="34">
        <v>12.5</v>
      </c>
    </row>
    <row r="18" spans="2:5">
      <c r="B18" s="32" t="s">
        <v>20</v>
      </c>
      <c r="C18" s="35">
        <v>0.2</v>
      </c>
      <c r="D18" s="35">
        <v>0.3</v>
      </c>
      <c r="E18" s="35">
        <v>0.3</v>
      </c>
    </row>
    <row r="19" spans="2:5">
      <c r="B19" s="32" t="s">
        <v>21</v>
      </c>
      <c r="C19" s="36">
        <f>+C18*C14</f>
        <v>80</v>
      </c>
      <c r="D19" s="36">
        <f>+D18*D14</f>
        <v>84</v>
      </c>
      <c r="E19" s="36">
        <f>+E18*E14</f>
        <v>84</v>
      </c>
    </row>
    <row r="20" spans="2:5">
      <c r="B20" s="32" t="s">
        <v>22</v>
      </c>
      <c r="C20" s="34">
        <v>10</v>
      </c>
      <c r="D20" s="34">
        <v>10</v>
      </c>
      <c r="E20" s="34">
        <v>10</v>
      </c>
    </row>
    <row r="21" spans="2:5">
      <c r="B21" s="37" t="s">
        <v>36</v>
      </c>
      <c r="C21" s="38">
        <f>+(C19*C20)+(C16*C17)</f>
        <v>4800</v>
      </c>
      <c r="D21" s="38">
        <f>+(D19*D20)+(D16*D17)</f>
        <v>3290</v>
      </c>
      <c r="E21" s="38">
        <f>+(E19*E20)+(E16*E17)</f>
        <v>3290</v>
      </c>
    </row>
    <row r="22" spans="2:5">
      <c r="B22" s="28" t="s">
        <v>23</v>
      </c>
      <c r="C22" s="39">
        <f>+IF(C21=0,0,C21/(C16+C19))</f>
        <v>12</v>
      </c>
      <c r="D22" s="39">
        <f>+IF(D21=0,0,D21/(D16+D19))</f>
        <v>11.75</v>
      </c>
      <c r="E22" s="39">
        <f>+IF(E21=0,0,E21/(E16+E19))</f>
        <v>11.75</v>
      </c>
    </row>
    <row r="23" spans="2:5">
      <c r="B23" s="40" t="s">
        <v>24</v>
      </c>
      <c r="C23" s="41">
        <v>5</v>
      </c>
      <c r="D23" s="41">
        <v>14</v>
      </c>
      <c r="E23" s="41">
        <v>24</v>
      </c>
    </row>
    <row r="24" spans="2:5">
      <c r="B24" s="42" t="s">
        <v>35</v>
      </c>
      <c r="C24" s="43">
        <f>C23*(C19+C16)</f>
        <v>2000</v>
      </c>
      <c r="D24" s="43">
        <f>D23*(D19+D16)</f>
        <v>3920</v>
      </c>
      <c r="E24" s="43">
        <f>E23*(E19+E16)</f>
        <v>6720</v>
      </c>
    </row>
    <row r="25" spans="2:5">
      <c r="B25" s="42"/>
      <c r="C25" s="43"/>
      <c r="D25" s="43"/>
      <c r="E25" s="43"/>
    </row>
    <row r="26" spans="2:5">
      <c r="B26" s="44" t="s">
        <v>25</v>
      </c>
      <c r="C26" s="45">
        <f>C24*C22</f>
        <v>24000</v>
      </c>
      <c r="D26" s="45">
        <f>D24*D22</f>
        <v>46060</v>
      </c>
      <c r="E26" s="45">
        <f>E24*E22</f>
        <v>78960</v>
      </c>
    </row>
    <row r="27" spans="2:5">
      <c r="B27" s="44" t="s">
        <v>26</v>
      </c>
      <c r="C27" s="43"/>
      <c r="D27" s="43"/>
      <c r="E27" s="43"/>
    </row>
    <row r="28" spans="2:5">
      <c r="B28" s="44" t="s">
        <v>27</v>
      </c>
      <c r="C28" s="43">
        <f>-C26/6</f>
        <v>-4000</v>
      </c>
      <c r="D28" s="43">
        <f>-D26/6</f>
        <v>-7676.666666666667</v>
      </c>
      <c r="E28" s="43">
        <f>-E26/6</f>
        <v>-13160</v>
      </c>
    </row>
    <row r="29" spans="2:5" s="2" customFormat="1">
      <c r="B29" s="46" t="s">
        <v>37</v>
      </c>
      <c r="C29" s="46">
        <f>+C26+C27+C28</f>
        <v>20000</v>
      </c>
      <c r="D29" s="46">
        <f>+D26+D27+D28</f>
        <v>38383.333333333336</v>
      </c>
      <c r="E29" s="46">
        <f>+E26+E27+E28</f>
        <v>65800</v>
      </c>
    </row>
    <row r="30" spans="2:5" s="2" customFormat="1">
      <c r="B30" s="47"/>
      <c r="C30" s="47"/>
      <c r="D30" s="47"/>
      <c r="E30" s="48"/>
    </row>
    <row r="31" spans="2:5" s="2" customFormat="1">
      <c r="B31" s="40" t="s">
        <v>39</v>
      </c>
      <c r="C31" s="49"/>
      <c r="D31" s="40">
        <f>D29</f>
        <v>38383.333333333336</v>
      </c>
      <c r="E31" s="50">
        <f>SUM(E29)</f>
        <v>65800</v>
      </c>
    </row>
    <row r="32" spans="2:5" s="2" customFormat="1">
      <c r="B32" s="40" t="s">
        <v>61</v>
      </c>
      <c r="C32" s="49"/>
      <c r="D32" s="50">
        <f>SUM(29140)</f>
        <v>29140</v>
      </c>
      <c r="E32" s="50">
        <f>SUM(58280)</f>
        <v>58280</v>
      </c>
    </row>
    <row r="33" spans="2:17" s="2" customFormat="1">
      <c r="B33" s="40" t="s">
        <v>62</v>
      </c>
      <c r="C33" s="49"/>
      <c r="D33" s="50">
        <v>19210</v>
      </c>
      <c r="E33" s="50">
        <v>29220</v>
      </c>
    </row>
    <row r="34" spans="2:17" s="2" customFormat="1">
      <c r="B34" s="51" t="s">
        <v>38</v>
      </c>
      <c r="C34" s="51"/>
      <c r="D34" s="52">
        <f>SUM(D31-D32-D33)</f>
        <v>-9966.6666666666642</v>
      </c>
      <c r="E34" s="52">
        <f>SUM(E31-E32-E33)</f>
        <v>-21700</v>
      </c>
      <c r="F34" s="3"/>
    </row>
    <row r="35" spans="2:17" s="2" customFormat="1">
      <c r="B35" s="53" t="s">
        <v>58</v>
      </c>
      <c r="C35" s="53"/>
      <c r="D35" s="53">
        <v>15000</v>
      </c>
      <c r="E35" s="54">
        <v>15000</v>
      </c>
      <c r="F35" s="3"/>
    </row>
    <row r="36" spans="2:17" s="2" customFormat="1">
      <c r="B36" s="49" t="s">
        <v>38</v>
      </c>
      <c r="C36" s="49"/>
      <c r="D36" s="49">
        <f>SUM(D34+D35)</f>
        <v>5033.3333333333358</v>
      </c>
      <c r="E36" s="55">
        <f>SUM(E34+E35)</f>
        <v>-6700</v>
      </c>
      <c r="F36" s="3"/>
    </row>
    <row r="37" spans="2:17" s="2" customFormat="1">
      <c r="B37" s="49"/>
      <c r="C37" s="49"/>
      <c r="D37" s="49"/>
      <c r="E37" s="55"/>
      <c r="F37" s="3"/>
    </row>
    <row r="38" spans="2:17" s="2" customFormat="1">
      <c r="B38" s="40" t="s">
        <v>28</v>
      </c>
      <c r="C38" s="40"/>
      <c r="D38" s="40"/>
      <c r="E38" s="50"/>
    </row>
    <row r="39" spans="2:17">
      <c r="B39" s="56" t="s">
        <v>40</v>
      </c>
      <c r="C39" s="56"/>
      <c r="D39" s="56"/>
      <c r="E39" s="43"/>
    </row>
    <row r="40" spans="2:17">
      <c r="B40" s="56" t="s">
        <v>29</v>
      </c>
      <c r="C40" s="56">
        <f>C26</f>
        <v>24000</v>
      </c>
      <c r="D40" s="56">
        <f>D26</f>
        <v>46060</v>
      </c>
      <c r="E40" s="43">
        <f>E26</f>
        <v>78960</v>
      </c>
    </row>
    <row r="41" spans="2:17">
      <c r="B41" s="56" t="s">
        <v>30</v>
      </c>
      <c r="C41" s="56">
        <f>-C40*0.013</f>
        <v>-312</v>
      </c>
      <c r="D41" s="56">
        <f t="shared" ref="D41" si="0">-D40*0.013</f>
        <v>-598.78</v>
      </c>
      <c r="E41" s="43">
        <f t="shared" ref="E41" si="1">-E40*0.013</f>
        <v>-1026.48</v>
      </c>
    </row>
    <row r="42" spans="2:17">
      <c r="B42" s="56" t="s">
        <v>31</v>
      </c>
      <c r="C42" s="56">
        <f>-C40*0.019</f>
        <v>-456</v>
      </c>
      <c r="D42" s="56">
        <f t="shared" ref="D42" si="2">-D40*0.019</f>
        <v>-875.14</v>
      </c>
      <c r="E42" s="43">
        <f t="shared" ref="E42" si="3">-E40*0.019</f>
        <v>-1500.24</v>
      </c>
    </row>
    <row r="43" spans="2:17">
      <c r="B43" s="56" t="s">
        <v>32</v>
      </c>
      <c r="C43" s="56">
        <f>+C40+C41+C42+C28</f>
        <v>19232</v>
      </c>
      <c r="D43" s="56">
        <f>+D40+D41+D42+D28</f>
        <v>36909.413333333338</v>
      </c>
      <c r="E43" s="43">
        <f>+E40+E41+E42+E28</f>
        <v>63273.279999999999</v>
      </c>
    </row>
    <row r="44" spans="2:17">
      <c r="B44" s="57"/>
      <c r="C44" s="57"/>
      <c r="D44" s="57"/>
      <c r="E44" s="58"/>
    </row>
    <row r="46" spans="2:17" ht="15.6">
      <c r="N46"/>
      <c r="O46" s="5"/>
      <c r="P46" s="6"/>
      <c r="Q46"/>
    </row>
    <row r="47" spans="2:17" ht="15.6">
      <c r="N47" s="7"/>
      <c r="O47" s="5"/>
      <c r="P47" s="6"/>
      <c r="Q47"/>
    </row>
  </sheetData>
  <mergeCells count="1">
    <mergeCell ref="B2:B3"/>
  </mergeCells>
  <conditionalFormatting sqref="M4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130" zoomScaleNormal="130" workbookViewId="0">
      <selection activeCell="B13" sqref="B13"/>
    </sheetView>
  </sheetViews>
  <sheetFormatPr defaultRowHeight="13.8"/>
  <cols>
    <col min="1" max="1" width="25.88671875" style="1" bestFit="1" customWidth="1"/>
    <col min="2" max="2" width="43.21875" style="1" bestFit="1" customWidth="1"/>
    <col min="3" max="3" width="9.33203125" style="1" bestFit="1" customWidth="1"/>
    <col min="4" max="16384" width="8.88671875" style="1"/>
  </cols>
  <sheetData>
    <row r="1" spans="1:3">
      <c r="A1" s="64" t="s">
        <v>48</v>
      </c>
      <c r="B1" s="64"/>
      <c r="C1" s="64"/>
    </row>
    <row r="3" spans="1:3">
      <c r="A3" s="61" t="s">
        <v>41</v>
      </c>
      <c r="B3" s="62"/>
      <c r="C3" s="63"/>
    </row>
    <row r="4" spans="1:3">
      <c r="A4" s="14" t="s">
        <v>44</v>
      </c>
      <c r="B4" s="15" t="s">
        <v>45</v>
      </c>
      <c r="C4" s="14" t="s">
        <v>46</v>
      </c>
    </row>
    <row r="5" spans="1:3">
      <c r="A5" s="8" t="s">
        <v>55</v>
      </c>
      <c r="B5" s="17" t="s">
        <v>56</v>
      </c>
      <c r="C5" s="9">
        <v>4</v>
      </c>
    </row>
    <row r="6" spans="1:3">
      <c r="A6" s="8" t="s">
        <v>42</v>
      </c>
      <c r="B6" s="10" t="s">
        <v>57</v>
      </c>
      <c r="C6" s="9">
        <v>10</v>
      </c>
    </row>
    <row r="7" spans="1:3">
      <c r="A7" s="8" t="s">
        <v>43</v>
      </c>
      <c r="B7" s="10" t="s">
        <v>57</v>
      </c>
      <c r="C7" s="9">
        <v>10</v>
      </c>
    </row>
    <row r="8" spans="1:3">
      <c r="A8" s="11" t="s">
        <v>47</v>
      </c>
      <c r="B8" s="12"/>
      <c r="C8" s="13">
        <f>SUM(C5:C7)</f>
        <v>24</v>
      </c>
    </row>
    <row r="12" spans="1:3">
      <c r="A12" s="16" t="s">
        <v>52</v>
      </c>
    </row>
    <row r="13" spans="1:3">
      <c r="A13" s="16" t="s">
        <v>53</v>
      </c>
    </row>
    <row r="14" spans="1:3">
      <c r="A14" s="16" t="s">
        <v>54</v>
      </c>
    </row>
  </sheetData>
  <mergeCells count="2">
    <mergeCell ref="A3:C3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53B8F-6350-4CC5-80F9-2653D815B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365FF-F384-4066-8ACC-E1360697D04D}">
  <ds:schemaRefs>
    <ds:schemaRef ds:uri="80129174-c05c-43cc-8e32-21fcbdfe51bb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FBB664-46B1-4AC8-B3F7-1AEACF3A3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Alvisl</cp:lastModifiedBy>
  <cp:revision/>
  <dcterms:created xsi:type="dcterms:W3CDTF">2017-01-04T11:54:40Z</dcterms:created>
  <dcterms:modified xsi:type="dcterms:W3CDTF">2017-05-18T16:53:49Z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