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" yWindow="0" windowWidth="20445" windowHeight="8145" tabRatio="500" activeTab="2"/>
  </bookViews>
  <sheets>
    <sheet name="HULL" sheetId="54" r:id="rId1"/>
    <sheet name="Ticket projections" sheetId="55" r:id="rId2"/>
    <sheet name="2017 costs" sheetId="57" r:id="rId3"/>
    <sheet name="Summary" sheetId="58" r:id="rId4"/>
  </sheets>
  <definedNames>
    <definedName name="_xlnm.Print_Area" localSheetId="0">HULL!$A$1:$H$127</definedName>
  </definedNames>
  <calcPr calcId="145621"/>
</workbook>
</file>

<file path=xl/calcChain.xml><?xml version="1.0" encoding="utf-8"?>
<calcChain xmlns="http://schemas.openxmlformats.org/spreadsheetml/2006/main">
  <c r="D12" i="58" l="1"/>
  <c r="D11" i="58"/>
  <c r="D9" i="58"/>
  <c r="E6" i="58"/>
  <c r="D5" i="58"/>
  <c r="F32" i="58" l="1"/>
  <c r="C26" i="57" l="1"/>
  <c r="C28" i="57" s="1"/>
  <c r="D30" i="58" l="1"/>
  <c r="F31" i="58"/>
  <c r="D31" i="58"/>
  <c r="D33" i="58"/>
  <c r="D37" i="58" s="1"/>
  <c r="F34" i="55"/>
  <c r="B10" i="55"/>
  <c r="B9" i="55"/>
  <c r="D25" i="55"/>
  <c r="C30" i="57"/>
  <c r="B4" i="55" l="1"/>
  <c r="C14" i="55"/>
  <c r="C13" i="55"/>
  <c r="E12" i="54"/>
  <c r="E13" i="54"/>
  <c r="E14" i="54"/>
  <c r="E15" i="54"/>
  <c r="E16" i="54"/>
  <c r="E17" i="54"/>
  <c r="E18" i="54"/>
  <c r="E19" i="54"/>
  <c r="E20" i="54"/>
  <c r="E21" i="54"/>
  <c r="E40" i="54" s="1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/>
  <c r="E101" i="54"/>
  <c r="E90" i="54"/>
  <c r="E91" i="54"/>
  <c r="E92" i="54"/>
  <c r="E93" i="54"/>
  <c r="E94" i="54"/>
  <c r="E84" i="54"/>
  <c r="E85" i="54"/>
  <c r="E87" i="54"/>
  <c r="E43" i="54"/>
  <c r="E49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E70" i="54"/>
  <c r="G64" i="54"/>
  <c r="E124" i="54"/>
  <c r="G43" i="54"/>
  <c r="G114" i="54"/>
  <c r="G44" i="54"/>
  <c r="G45" i="54"/>
  <c r="G46" i="54"/>
  <c r="G47" i="54"/>
  <c r="G48" i="54"/>
  <c r="G54" i="54"/>
  <c r="G57" i="54"/>
  <c r="G61" i="54"/>
  <c r="G65" i="54"/>
  <c r="G84" i="54"/>
  <c r="G85" i="54"/>
  <c r="G86" i="54"/>
  <c r="G90" i="54"/>
  <c r="G92" i="54"/>
  <c r="G93" i="54"/>
  <c r="E86" i="54"/>
  <c r="E114" i="54" l="1"/>
  <c r="E118" i="54" s="1"/>
  <c r="E127" i="54"/>
  <c r="C7" i="54" s="1"/>
  <c r="C8" i="54" s="1"/>
  <c r="D50" i="55"/>
  <c r="E50" i="55" s="1"/>
  <c r="D22" i="55"/>
  <c r="E22" i="55" s="1"/>
  <c r="D48" i="55"/>
  <c r="E48" i="55" s="1"/>
  <c r="D52" i="55"/>
  <c r="E52" i="55" s="1"/>
  <c r="D51" i="55"/>
  <c r="E51" i="55" s="1"/>
  <c r="D28" i="55"/>
  <c r="E28" i="55" s="1"/>
  <c r="D27" i="55"/>
  <c r="E27" i="55" s="1"/>
  <c r="D26" i="55"/>
  <c r="E26" i="55" s="1"/>
  <c r="D29" i="55"/>
  <c r="E29" i="55" s="1"/>
  <c r="E25" i="55"/>
  <c r="D32" i="55"/>
  <c r="D19" i="55"/>
  <c r="E19" i="55" s="1"/>
  <c r="D40" i="55"/>
  <c r="D18" i="55"/>
  <c r="E18" i="55" s="1"/>
  <c r="D21" i="55"/>
  <c r="E21" i="55" s="1"/>
  <c r="D49" i="55"/>
  <c r="E49" i="55" s="1"/>
  <c r="D20" i="55"/>
  <c r="E20" i="55" s="1"/>
  <c r="D41" i="55" l="1"/>
  <c r="E41" i="55" s="1"/>
  <c r="E40" i="55"/>
  <c r="D44" i="55"/>
  <c r="E44" i="55" s="1"/>
  <c r="D42" i="55"/>
  <c r="E42" i="55" s="1"/>
  <c r="D43" i="55"/>
  <c r="E43" i="55" s="1"/>
  <c r="D33" i="55"/>
  <c r="E33" i="55" s="1"/>
  <c r="D36" i="55"/>
  <c r="E36" i="55" s="1"/>
  <c r="D35" i="55"/>
  <c r="E35" i="55" s="1"/>
  <c r="E32" i="55"/>
  <c r="D34" i="55"/>
  <c r="E34" i="55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<sst xmlns="http://schemas.openxmlformats.org/spreadsheetml/2006/main" count="243" uniqueCount="200">
  <si>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</si>
  <si>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</si>
  <si>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</si>
  <si>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</si>
  <si>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</si>
  <si>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</si>
  <si>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</si>
  <si>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</si>
  <si>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</si>
  <si>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</si>
  <si>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</si>
  <si>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</si>
  <si>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</si>
  <si>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</si>
  <si>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</si>
  <si>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</si>
  <si>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</si>
  <si>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</si>
  <si>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</si>
  <si>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</si>
  <si>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</si>
  <si>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</si>
  <si>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</si>
  <si>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</si>
  <si>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</si>
  <si>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</si>
  <si>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</si>
  <si>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</si>
  <si>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</si>
  <si>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</si>
  <si>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</si>
  <si>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</si>
  <si>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</si>
  <si>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</si>
  <si>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</si>
  <si>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</si>
  <si>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</si>
  <si>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</si>
  <si>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</si>
  <si>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</si>
  <si>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</si>
  <si>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</si>
  <si>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</si>
  <si>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</si>
  <si>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</si>
  <si>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</si>
  <si>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</si>
  <si>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</si>
  <si>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</si>
  <si>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</si>
  <si>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</si>
  <si>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</si>
  <si>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</si>
  <si>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</si>
  <si>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</si>
  <si>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</si>
  <si>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</si>
  <si>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</si>
  <si>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</si>
  <si>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</si>
  <si>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</si>
  <si>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</si>
  <si>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</si>
  <si>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</si>
  <si>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</si>
  <si>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</si>
  <si>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</si>
  <si>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</si>
  <si>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</si>
  <si>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</si>
  <si>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</si>
  <si>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</si>
  <si>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</si>
  <si>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</si>
  <si>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</si>
  <si>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</si>
  <si>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</si>
  <si>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</si>
  <si>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</si>
  <si>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</si>
  <si>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</si>
  <si>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</si>
  <si>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</si>
  <si>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</si>
  <si>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</si>
  <si>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</si>
  <si>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</si>
  <si>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</si>
  <si>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</si>
  <si>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</si>
  <si>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</si>
  <si>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</si>
  <si>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</si>
  <si>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</si>
  <si>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</si>
  <si>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</si>
  <si>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</si>
  <si>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</si>
  <si>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</si>
  <si>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</si>
  <si>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</si>
  <si>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</si>
  <si>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</si>
  <si>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</si>
  <si>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 xml:space="preserve">Price Band A (Hull residents) </t>
  </si>
  <si>
    <t>Price Band B (non Hull residents)</t>
  </si>
  <si>
    <t>price</t>
  </si>
  <si>
    <t>net income</t>
  </si>
  <si>
    <t>% capacity sales</t>
  </si>
  <si>
    <t>Per show</t>
  </si>
  <si>
    <t>Per week</t>
  </si>
  <si>
    <t>Max shows per week</t>
  </si>
  <si>
    <t>ALL AT LOWER PRICE</t>
  </si>
  <si>
    <t>ALL AT HIGHER PRICE</t>
  </si>
  <si>
    <t>25% lower price, 75% higher price</t>
  </si>
  <si>
    <t>75% lower price, 25% higher price</t>
  </si>
  <si>
    <t>50% lower price, 50% higher price</t>
  </si>
  <si>
    <t>Commissioning and Fees</t>
  </si>
  <si>
    <t>Development and R&amp;D</t>
  </si>
  <si>
    <t>Creative and Production teams and constultants</t>
  </si>
  <si>
    <t>Rehearsal costs</t>
  </si>
  <si>
    <t>Technical and Production</t>
  </si>
  <si>
    <t>Venue and Logistics</t>
  </si>
  <si>
    <t>Legal and Documentary</t>
  </si>
  <si>
    <t>Marketing, Digital and Comms</t>
  </si>
  <si>
    <t>Education and Community Engagement</t>
  </si>
  <si>
    <t xml:space="preserve">Volunteering </t>
  </si>
  <si>
    <t>Artist and Guest Liaison</t>
  </si>
  <si>
    <t>Running costs</t>
  </si>
  <si>
    <t>Admin and Miscellaneous</t>
  </si>
  <si>
    <t>CORE PROJECT BUDGET HEADINGS</t>
  </si>
  <si>
    <t>2017 budget</t>
  </si>
  <si>
    <t>Full commission amount to go in here?</t>
  </si>
  <si>
    <t xml:space="preserve">if just spend to date </t>
  </si>
  <si>
    <t>Within commission fee</t>
  </si>
  <si>
    <t>What is excluded from their £15,000?  Does it include permissions, licences, hire costs, legal costs etc?</t>
  </si>
  <si>
    <t xml:space="preserve">Photography and filming </t>
  </si>
  <si>
    <t>?  Get a steer from Phil</t>
  </si>
  <si>
    <t>Are we doubling up here?</t>
  </si>
  <si>
    <t>Is this image generation for marketing purposes rather than documentary?</t>
  </si>
  <si>
    <t>Is this something we should take in house?  Not sure.</t>
  </si>
  <si>
    <t>? Get a steer from Phil</t>
  </si>
  <si>
    <t>Project tbc?</t>
  </si>
  <si>
    <t>? Get a steer from Ian</t>
  </si>
  <si>
    <t>Can be 0 if all costs are accounted for within creation budget, e.g. duty of care (same as cast/crew), coordinator, specific training, PPE/costume</t>
  </si>
  <si>
    <t>VIP costs</t>
  </si>
  <si>
    <t>See separate</t>
  </si>
  <si>
    <t>Producing team costs</t>
  </si>
  <si>
    <t>Marketing design, print, distribution, box office, digital , comms, evaluation</t>
  </si>
  <si>
    <t>Access costs</t>
  </si>
  <si>
    <t>Audio-description is costed into commission fee.  Need more?</t>
  </si>
  <si>
    <t>? Check with Phil</t>
  </si>
  <si>
    <t>Contingency @ 10%</t>
  </si>
  <si>
    <t>Subtotal</t>
  </si>
  <si>
    <t>Total budget allocation</t>
  </si>
  <si>
    <t>Hull 2017 costs</t>
  </si>
  <si>
    <t>See below</t>
  </si>
  <si>
    <t>Producer / Assistant Producer</t>
  </si>
  <si>
    <t>Core team</t>
  </si>
  <si>
    <t>Remaining budget</t>
  </si>
  <si>
    <t>Max Audience capacity</t>
  </si>
  <si>
    <t>Max audience per week</t>
  </si>
  <si>
    <t>if from Freedom to Turner</t>
  </si>
  <si>
    <t>30 days</t>
  </si>
  <si>
    <t>?</t>
  </si>
  <si>
    <t>35 shows</t>
  </si>
  <si>
    <t>Days/shows - not including previews</t>
  </si>
  <si>
    <t>Max audience capacity</t>
  </si>
  <si>
    <t>Projected audience figures</t>
  </si>
  <si>
    <t xml:space="preserve"> + previews</t>
  </si>
  <si>
    <t>For the run if 35 shows</t>
  </si>
  <si>
    <t>SUMMARY</t>
  </si>
  <si>
    <t>At basic level</t>
  </si>
  <si>
    <t>Current budget would get us one week of shows and c. £25k income.  At this level we'd be able to put £475k into the creation.</t>
  </si>
  <si>
    <t>However, after running for one week, then we'd have to subsidise each additional week to the tune of approx £15k</t>
  </si>
  <si>
    <t>If we take the assumption that we want to do 4 weeks (assuming previews are built into rehearsal period, but this might not be case)</t>
  </si>
  <si>
    <t xml:space="preserve">the first week would be built into the commission fee budget.  Additional </t>
  </si>
  <si>
    <t>Net income</t>
  </si>
  <si>
    <t>Net cost</t>
  </si>
  <si>
    <t>Total budget</t>
  </si>
  <si>
    <t>Remaining for commission</t>
  </si>
  <si>
    <t xml:space="preserve">Could we cut number of performers if cut down to 6 shows per week?  Would have to be a significant saving on spend, offset by approx. </t>
  </si>
  <si>
    <t xml:space="preserve">SK </t>
  </si>
  <si>
    <t>Is this a fee?  Is it doubling up?  Could one of our team do this?</t>
  </si>
  <si>
    <t>Need to try and cut these costs</t>
  </si>
  <si>
    <t>If we found local crew would this go?</t>
  </si>
  <si>
    <t>Seems v low</t>
  </si>
  <si>
    <t>Is this accommodation?  Seems v low</t>
  </si>
  <si>
    <t>could be local</t>
  </si>
  <si>
    <t>Needs to be Korean speaker</t>
  </si>
  <si>
    <t>Can take these out</t>
  </si>
  <si>
    <t>Can lose this</t>
  </si>
  <si>
    <t>4 weeks at £33k</t>
  </si>
  <si>
    <t>4 weeks at £24k</t>
  </si>
  <si>
    <t>1 week @£15k</t>
  </si>
  <si>
    <t>Hull 2017 direct costs</t>
  </si>
  <si>
    <t>Creation budget subsidy</t>
  </si>
  <si>
    <t>Income projections</t>
  </si>
  <si>
    <t>or 40 shows</t>
  </si>
  <si>
    <t>or 35 shows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</si>
</sst>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2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0" fontId="6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0" fontId="7" fillId="4" borderId="4" xfId="0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0" fontId="3" fillId="0" borderId="9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9" fontId="0" fillId="0" borderId="0" xfId="0" applyNumberFormat="1"/>
    <xf numFmtId="164" fontId="0" fillId="0" borderId="0" xfId="0" applyNumberFormat="1"/>
    <xf numFmtId="0" fontId="12" fillId="0" borderId="0" xfId="0" applyFont="1"/>
    <xf numFmtId="0" fontId="15" fillId="0" borderId="0" xfId="0" applyFont="1"/>
    <xf numFmtId="9" fontId="15" fillId="0" borderId="0" xfId="0" applyNumberFormat="1" applyFont="1"/>
    <xf numFmtId="164" fontId="15" fillId="0" borderId="0" xfId="0" applyNumberFormat="1" applyFont="1"/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2" fillId="0" borderId="0" xfId="0" applyFont="1" applyAlignment="1">
      <alignment vertical="top"/>
    </xf>
    <xf numFmtId="44" fontId="0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2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44" fontId="15" fillId="0" borderId="0" xfId="0" applyNumberFormat="1" applyFont="1" applyAlignment="1">
      <alignment vertical="top"/>
    </xf>
    <xf numFmtId="44" fontId="12" fillId="0" borderId="0" xfId="0" applyNumberFormat="1" applyFont="1"/>
    <xf numFmtId="44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2" fillId="0" borderId="0" xfId="0" applyFont="1" applyAlignment="1"/>
    <xf numFmtId="164" fontId="2" fillId="0" borderId="0" xfId="1" applyNumberFormat="1" applyFont="1" applyAlignment="1"/>
    <xf numFmtId="0" fontId="2" fillId="3" borderId="4" xfId="0" applyFont="1" applyFill="1" applyBorder="1" applyAlignment="1"/>
    <xf numFmtId="0" fontId="2" fillId="0" borderId="4" xfId="0" applyFont="1" applyBorder="1" applyAlignment="1"/>
    <xf numFmtId="3" fontId="2" fillId="0" borderId="4" xfId="0" applyNumberFormat="1" applyFont="1" applyBorder="1" applyAlignment="1"/>
    <xf numFmtId="3" fontId="2" fillId="0" borderId="0" xfId="0" applyNumberFormat="1" applyFont="1" applyAlignment="1"/>
    <xf numFmtId="164" fontId="2" fillId="0" borderId="4" xfId="0" applyNumberFormat="1" applyFont="1" applyBorder="1" applyAlignment="1"/>
    <xf numFmtId="3" fontId="3" fillId="0" borderId="4" xfId="0" applyNumberFormat="1" applyFont="1" applyBorder="1" applyAlignment="1"/>
    <xf numFmtId="0" fontId="2" fillId="0" borderId="0" xfId="0" applyFont="1" applyBorder="1" applyAlignment="1"/>
    <xf numFmtId="3" fontId="3" fillId="0" borderId="0" xfId="0" applyNumberFormat="1" applyFont="1" applyBorder="1" applyAlignment="1"/>
    <xf numFmtId="0" fontId="2" fillId="4" borderId="4" xfId="0" applyFont="1" applyFill="1" applyBorder="1" applyAlignment="1"/>
    <xf numFmtId="164" fontId="2" fillId="4" borderId="4" xfId="1" applyNumberFormat="1" applyFont="1" applyFill="1" applyBorder="1" applyAlignment="1"/>
    <xf numFmtId="0" fontId="3" fillId="4" borderId="4" xfId="0" applyFont="1" applyFill="1" applyBorder="1" applyAlignment="1"/>
    <xf numFmtId="164" fontId="3" fillId="4" borderId="4" xfId="1" applyNumberFormat="1" applyFont="1" applyFill="1" applyBorder="1" applyAlignment="1"/>
    <xf numFmtId="6" fontId="2" fillId="0" borderId="4" xfId="0" applyNumberFormat="1" applyFont="1" applyBorder="1" applyAlignment="1"/>
    <xf numFmtId="0" fontId="2" fillId="0" borderId="4" xfId="0" applyFont="1" applyFill="1" applyBorder="1" applyAlignment="1">
      <alignment horizontal="right"/>
    </xf>
    <xf numFmtId="164" fontId="2" fillId="0" borderId="4" xfId="1" applyNumberFormat="1" applyFont="1" applyBorder="1" applyAlignment="1"/>
    <xf numFmtId="0" fontId="5" fillId="0" borderId="4" xfId="0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0" fontId="3" fillId="0" borderId="4" xfId="0" applyFont="1" applyBorder="1" applyAlignment="1"/>
    <xf numFmtId="164" fontId="3" fillId="0" borderId="4" xfId="1" applyNumberFormat="1" applyFont="1" applyBorder="1" applyAlignment="1"/>
    <xf numFmtId="0" fontId="2" fillId="4" borderId="2" xfId="0" applyFont="1" applyFill="1" applyBorder="1" applyAlignment="1"/>
    <xf numFmtId="164" fontId="2" fillId="4" borderId="3" xfId="1" applyNumberFormat="1" applyFont="1" applyFill="1" applyBorder="1" applyAlignment="1"/>
    <xf numFmtId="164" fontId="2" fillId="0" borderId="9" xfId="1" applyNumberFormat="1" applyFont="1" applyBorder="1" applyAlignment="1"/>
    <xf numFmtId="6" fontId="3" fillId="0" borderId="4" xfId="0" applyNumberFormat="1" applyFont="1" applyBorder="1" applyAlignment="1"/>
    <xf numFmtId="0" fontId="2" fillId="0" borderId="5" xfId="0" applyFont="1" applyBorder="1" applyAlignment="1"/>
    <xf numFmtId="6" fontId="2" fillId="0" borderId="5" xfId="0" applyNumberFormat="1" applyFont="1" applyBorder="1" applyAlignment="1"/>
    <xf numFmtId="164" fontId="2" fillId="0" borderId="5" xfId="1" applyNumberFormat="1" applyFont="1" applyBorder="1" applyAlignment="1"/>
    <xf numFmtId="0" fontId="2" fillId="4" borderId="7" xfId="0" applyFont="1" applyFill="1" applyBorder="1" applyAlignment="1"/>
    <xf numFmtId="164" fontId="2" fillId="4" borderId="8" xfId="1" applyNumberFormat="1" applyFont="1" applyFill="1" applyBorder="1" applyAlignment="1"/>
    <xf numFmtId="164" fontId="2" fillId="0" borderId="4" xfId="1" applyNumberFormat="1" applyFont="1" applyFill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Fill="1" applyBorder="1" applyAlignment="1"/>
    <xf numFmtId="0" fontId="2" fillId="0" borderId="0" xfId="0" applyFont="1" applyFill="1" applyBorder="1" applyAlignment="1"/>
    <xf numFmtId="3" fontId="0" fillId="0" borderId="0" xfId="0" applyNumberFormat="1" applyAlignment="1"/>
    <xf numFmtId="0" fontId="0" fillId="0" borderId="0" xfId="0" applyAlignment="1"/>
    <xf numFmtId="0" fontId="3" fillId="0" borderId="11" xfId="0" applyFont="1" applyBorder="1" applyAlignment="1"/>
    <xf numFmtId="0" fontId="3" fillId="0" borderId="0" xfId="0" applyFont="1" applyAlignment="1"/>
    <xf numFmtId="0" fontId="16" fillId="0" borderId="0" xfId="0" applyFont="1" applyAlignment="1">
      <alignment wrapText="1"/>
    </xf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view="pageBreakPreview" topLeftCell="A48" zoomScale="90" zoomScaleNormal="110" zoomScaleSheetLayoutView="90" zoomScalePageLayoutView="125" workbookViewId="0">
      <selection activeCell="A75" sqref="A75"/>
    </sheetView>
  </sheetViews>
  <sheetFormatPr defaultColWidth="12.625" defaultRowHeight="12.75" x14ac:dyDescent="0.2"/>
  <cols>
    <col min="1" max="1" width="43.125" style="1" customWidth="1"/>
    <col min="2" max="2" width="6.375" style="60" customWidth="1"/>
    <col min="3" max="3" width="11" style="60" customWidth="1"/>
    <col min="4" max="4" width="10" style="60" customWidth="1"/>
    <col min="5" max="5" width="14.875" style="61" bestFit="1" customWidth="1"/>
    <col min="6" max="6" width="9.125" style="1" customWidth="1"/>
    <col min="7" max="7" width="11" style="1" customWidth="1"/>
    <col min="8" max="8" width="45.5" style="55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12" t="s">
        <v>83</v>
      </c>
    </row>
    <row r="2" spans="1:7" ht="13.5" thickBot="1" x14ac:dyDescent="0.25"/>
    <row r="3" spans="1:7" ht="13.5" thickBot="1" x14ac:dyDescent="0.25">
      <c r="A3" s="100" t="s">
        <v>84</v>
      </c>
      <c r="B3" s="101"/>
      <c r="C3" s="101"/>
      <c r="D3" s="101"/>
      <c r="E3" s="102"/>
      <c r="G3" s="2" t="s">
        <v>85</v>
      </c>
    </row>
    <row r="5" spans="1:7" x14ac:dyDescent="0.2">
      <c r="A5" s="3" t="s">
        <v>0</v>
      </c>
      <c r="B5" s="62"/>
      <c r="C5" s="62"/>
      <c r="D5" s="15"/>
      <c r="E5" s="60"/>
    </row>
    <row r="6" spans="1:7" x14ac:dyDescent="0.2">
      <c r="A6" s="4" t="s">
        <v>80</v>
      </c>
      <c r="B6" s="63"/>
      <c r="C6" s="64">
        <v>550000</v>
      </c>
      <c r="D6" s="23"/>
      <c r="E6" s="65"/>
      <c r="F6" s="21"/>
    </row>
    <row r="7" spans="1:7" x14ac:dyDescent="0.2">
      <c r="A7" s="4" t="s">
        <v>46</v>
      </c>
      <c r="B7" s="63"/>
      <c r="C7" s="66">
        <f>E127</f>
        <v>97296</v>
      </c>
      <c r="D7" s="23"/>
      <c r="E7" s="65"/>
      <c r="F7" s="21"/>
    </row>
    <row r="8" spans="1:7" x14ac:dyDescent="0.2">
      <c r="A8" s="5" t="s">
        <v>41</v>
      </c>
      <c r="B8" s="63"/>
      <c r="C8" s="67">
        <f>C6+C7-E118</f>
        <v>-60004</v>
      </c>
      <c r="D8" s="23"/>
      <c r="E8" s="65"/>
      <c r="F8" s="21"/>
    </row>
    <row r="9" spans="1:7" x14ac:dyDescent="0.2">
      <c r="A9" s="11"/>
      <c r="B9" s="68"/>
      <c r="C9" s="69"/>
      <c r="D9" s="15"/>
      <c r="E9" s="65"/>
    </row>
    <row r="10" spans="1:7" ht="15.75" x14ac:dyDescent="0.25">
      <c r="A10" s="26" t="s">
        <v>80</v>
      </c>
      <c r="B10" s="70"/>
      <c r="C10" s="70"/>
      <c r="D10" s="70"/>
      <c r="E10" s="71"/>
    </row>
    <row r="11" spans="1:7" x14ac:dyDescent="0.2">
      <c r="A11" s="25" t="s">
        <v>2</v>
      </c>
      <c r="B11" s="72" t="s">
        <v>37</v>
      </c>
      <c r="C11" s="72" t="s">
        <v>28</v>
      </c>
      <c r="D11" s="72" t="s">
        <v>29</v>
      </c>
      <c r="E11" s="73" t="s">
        <v>1</v>
      </c>
    </row>
    <row r="12" spans="1:7" x14ac:dyDescent="0.2">
      <c r="A12" s="4" t="s">
        <v>3</v>
      </c>
      <c r="B12" s="63">
        <v>1</v>
      </c>
      <c r="C12" s="74">
        <v>15000</v>
      </c>
      <c r="D12" s="75" t="s">
        <v>50</v>
      </c>
      <c r="E12" s="76">
        <f>C12</f>
        <v>15000</v>
      </c>
    </row>
    <row r="13" spans="1:7" x14ac:dyDescent="0.2">
      <c r="A13" s="13" t="s">
        <v>73</v>
      </c>
      <c r="B13" s="63">
        <v>1</v>
      </c>
      <c r="C13" s="74">
        <v>1000</v>
      </c>
      <c r="D13" s="75">
        <v>3</v>
      </c>
      <c r="E13" s="76">
        <f>B13*C13*D13</f>
        <v>3000</v>
      </c>
    </row>
    <row r="14" spans="1:7" x14ac:dyDescent="0.2">
      <c r="A14" s="13" t="s">
        <v>33</v>
      </c>
      <c r="B14" s="63">
        <v>1</v>
      </c>
      <c r="C14" s="74">
        <v>1500</v>
      </c>
      <c r="D14" s="75" t="s">
        <v>50</v>
      </c>
      <c r="E14" s="76">
        <f>C14</f>
        <v>1500</v>
      </c>
    </row>
    <row r="15" spans="1:7" x14ac:dyDescent="0.2">
      <c r="A15" s="13" t="s">
        <v>52</v>
      </c>
      <c r="B15" s="63">
        <v>1</v>
      </c>
      <c r="C15" s="74">
        <v>3500</v>
      </c>
      <c r="D15" s="75" t="s">
        <v>50</v>
      </c>
      <c r="E15" s="76">
        <f>C15</f>
        <v>3500</v>
      </c>
    </row>
    <row r="16" spans="1:7" x14ac:dyDescent="0.2">
      <c r="A16" s="13" t="s">
        <v>39</v>
      </c>
      <c r="B16" s="63">
        <v>4</v>
      </c>
      <c r="C16" s="74">
        <v>400</v>
      </c>
      <c r="D16" s="75">
        <v>12</v>
      </c>
      <c r="E16" s="76">
        <f>B16*C16*D16</f>
        <v>19200</v>
      </c>
    </row>
    <row r="17" spans="1:8" x14ac:dyDescent="0.2">
      <c r="A17" s="4" t="s">
        <v>43</v>
      </c>
      <c r="B17" s="63">
        <v>1</v>
      </c>
      <c r="C17" s="74">
        <v>1100</v>
      </c>
      <c r="D17" s="77">
        <v>8</v>
      </c>
      <c r="E17" s="76">
        <f>B17*C17*D17</f>
        <v>8800</v>
      </c>
    </row>
    <row r="18" spans="1:8" x14ac:dyDescent="0.2">
      <c r="A18" s="4" t="s">
        <v>59</v>
      </c>
      <c r="B18" s="63">
        <v>1</v>
      </c>
      <c r="C18" s="78">
        <v>2500</v>
      </c>
      <c r="D18" s="75" t="s">
        <v>50</v>
      </c>
      <c r="E18" s="76">
        <f>C18</f>
        <v>2500</v>
      </c>
      <c r="H18" s="55" t="s">
        <v>182</v>
      </c>
    </row>
    <row r="19" spans="1:8" x14ac:dyDescent="0.2">
      <c r="A19" s="4" t="s">
        <v>4</v>
      </c>
      <c r="B19" s="63">
        <v>1</v>
      </c>
      <c r="C19" s="79">
        <v>2500</v>
      </c>
      <c r="D19" s="77" t="s">
        <v>50</v>
      </c>
      <c r="E19" s="76">
        <f>C19</f>
        <v>2500</v>
      </c>
    </row>
    <row r="20" spans="1:8" ht="25.5" x14ac:dyDescent="0.2">
      <c r="A20" s="4" t="s">
        <v>78</v>
      </c>
      <c r="B20" s="63">
        <v>1</v>
      </c>
      <c r="C20" s="79">
        <v>2500</v>
      </c>
      <c r="D20" s="77" t="s">
        <v>50</v>
      </c>
      <c r="E20" s="76">
        <f>C20</f>
        <v>2500</v>
      </c>
      <c r="H20" s="55" t="s">
        <v>183</v>
      </c>
    </row>
    <row r="21" spans="1:8" ht="45" x14ac:dyDescent="0.25">
      <c r="A21" s="13" t="s">
        <v>36</v>
      </c>
      <c r="B21" s="63">
        <v>38</v>
      </c>
      <c r="C21" s="78">
        <v>500</v>
      </c>
      <c r="D21" s="75">
        <v>2.5</v>
      </c>
      <c r="E21" s="76">
        <f>B21*C21*D21</f>
        <v>47500</v>
      </c>
      <c r="H21" s="99" t="s">
        <v>181</v>
      </c>
    </row>
    <row r="22" spans="1:8" x14ac:dyDescent="0.2">
      <c r="A22" s="13" t="s">
        <v>76</v>
      </c>
      <c r="B22" s="63">
        <v>1</v>
      </c>
      <c r="C22" s="78">
        <v>15000</v>
      </c>
      <c r="D22" s="75" t="s">
        <v>50</v>
      </c>
      <c r="E22" s="76">
        <f>C22</f>
        <v>15000</v>
      </c>
    </row>
    <row r="23" spans="1:8" x14ac:dyDescent="0.2">
      <c r="A23" s="13" t="s">
        <v>32</v>
      </c>
      <c r="B23" s="63">
        <v>1</v>
      </c>
      <c r="C23" s="78">
        <v>1500</v>
      </c>
      <c r="D23" s="75" t="s">
        <v>50</v>
      </c>
      <c r="E23" s="76">
        <f>C23</f>
        <v>1500</v>
      </c>
    </row>
    <row r="24" spans="1:8" x14ac:dyDescent="0.2">
      <c r="A24" s="13" t="s">
        <v>81</v>
      </c>
      <c r="B24" s="63">
        <v>1</v>
      </c>
      <c r="C24" s="78">
        <v>1000</v>
      </c>
      <c r="D24" s="75">
        <v>10</v>
      </c>
      <c r="E24" s="76">
        <f t="shared" ref="E24:E39" si="0">B24*C24*D24</f>
        <v>10000</v>
      </c>
    </row>
    <row r="25" spans="1:8" x14ac:dyDescent="0.2">
      <c r="A25" s="13" t="s">
        <v>55</v>
      </c>
      <c r="B25" s="63">
        <v>1</v>
      </c>
      <c r="C25" s="78">
        <v>1000</v>
      </c>
      <c r="D25" s="75">
        <v>4.5</v>
      </c>
      <c r="E25" s="76">
        <f t="shared" si="0"/>
        <v>4500</v>
      </c>
    </row>
    <row r="26" spans="1:8" x14ac:dyDescent="0.2">
      <c r="A26" s="13" t="s">
        <v>49</v>
      </c>
      <c r="B26" s="63">
        <v>1</v>
      </c>
      <c r="C26" s="78">
        <v>750</v>
      </c>
      <c r="D26" s="75">
        <v>4.5</v>
      </c>
      <c r="E26" s="76">
        <f t="shared" si="0"/>
        <v>3375</v>
      </c>
    </row>
    <row r="27" spans="1:8" x14ac:dyDescent="0.2">
      <c r="A27" s="13" t="s">
        <v>48</v>
      </c>
      <c r="B27" s="63">
        <v>1</v>
      </c>
      <c r="C27" s="78">
        <v>750</v>
      </c>
      <c r="D27" s="75">
        <v>4.5</v>
      </c>
      <c r="E27" s="76">
        <f t="shared" si="0"/>
        <v>3375</v>
      </c>
    </row>
    <row r="28" spans="1:8" x14ac:dyDescent="0.2">
      <c r="A28" s="13" t="s">
        <v>53</v>
      </c>
      <c r="B28" s="63">
        <v>1</v>
      </c>
      <c r="C28" s="78">
        <v>1500</v>
      </c>
      <c r="D28" s="75">
        <v>8</v>
      </c>
      <c r="E28" s="76">
        <f t="shared" si="0"/>
        <v>12000</v>
      </c>
    </row>
    <row r="29" spans="1:8" x14ac:dyDescent="0.2">
      <c r="A29" s="13" t="s">
        <v>61</v>
      </c>
      <c r="B29" s="63">
        <v>1</v>
      </c>
      <c r="C29" s="78">
        <v>1000</v>
      </c>
      <c r="D29" s="75">
        <v>2</v>
      </c>
      <c r="E29" s="76">
        <f t="shared" si="0"/>
        <v>2000</v>
      </c>
    </row>
    <row r="30" spans="1:8" x14ac:dyDescent="0.2">
      <c r="A30" s="13" t="s">
        <v>9</v>
      </c>
      <c r="B30" s="63">
        <v>1</v>
      </c>
      <c r="C30" s="78">
        <v>750</v>
      </c>
      <c r="D30" s="75">
        <v>10</v>
      </c>
      <c r="E30" s="76">
        <f t="shared" si="0"/>
        <v>7500</v>
      </c>
    </row>
    <row r="31" spans="1:8" x14ac:dyDescent="0.2">
      <c r="A31" s="13" t="s">
        <v>86</v>
      </c>
      <c r="B31" s="63">
        <v>3</v>
      </c>
      <c r="C31" s="78">
        <v>500</v>
      </c>
      <c r="D31" s="75">
        <v>4</v>
      </c>
      <c r="E31" s="76">
        <f t="shared" si="0"/>
        <v>6000</v>
      </c>
    </row>
    <row r="32" spans="1:8" x14ac:dyDescent="0.2">
      <c r="A32" s="33" t="s">
        <v>68</v>
      </c>
      <c r="B32" s="63">
        <v>1</v>
      </c>
      <c r="C32" s="78">
        <v>500</v>
      </c>
      <c r="D32" s="75">
        <v>3</v>
      </c>
      <c r="E32" s="76">
        <f t="shared" si="0"/>
        <v>1500</v>
      </c>
    </row>
    <row r="33" spans="1:8" x14ac:dyDescent="0.2">
      <c r="A33" s="33" t="s">
        <v>54</v>
      </c>
      <c r="B33" s="63">
        <v>2</v>
      </c>
      <c r="C33" s="78">
        <v>500</v>
      </c>
      <c r="D33" s="75">
        <v>3</v>
      </c>
      <c r="E33" s="76">
        <f t="shared" si="0"/>
        <v>3000</v>
      </c>
    </row>
    <row r="34" spans="1:8" x14ac:dyDescent="0.2">
      <c r="A34" s="13" t="s">
        <v>94</v>
      </c>
      <c r="B34" s="63">
        <v>1</v>
      </c>
      <c r="C34" s="78">
        <v>1500</v>
      </c>
      <c r="D34" s="75">
        <v>12</v>
      </c>
      <c r="E34" s="76">
        <f t="shared" si="0"/>
        <v>18000</v>
      </c>
    </row>
    <row r="35" spans="1:8" x14ac:dyDescent="0.2">
      <c r="A35" s="13" t="s">
        <v>34</v>
      </c>
      <c r="B35" s="63">
        <v>5</v>
      </c>
      <c r="C35" s="78">
        <v>1200</v>
      </c>
      <c r="D35" s="75">
        <v>9.5</v>
      </c>
      <c r="E35" s="76">
        <f t="shared" si="0"/>
        <v>57000</v>
      </c>
    </row>
    <row r="36" spans="1:8" x14ac:dyDescent="0.2">
      <c r="A36" s="13" t="s">
        <v>93</v>
      </c>
      <c r="B36" s="63">
        <v>1</v>
      </c>
      <c r="C36" s="78">
        <v>950</v>
      </c>
      <c r="D36" s="75">
        <v>6</v>
      </c>
      <c r="E36" s="76">
        <f t="shared" si="0"/>
        <v>5700</v>
      </c>
    </row>
    <row r="37" spans="1:8" x14ac:dyDescent="0.2">
      <c r="A37" s="13" t="s">
        <v>77</v>
      </c>
      <c r="B37" s="63">
        <v>4</v>
      </c>
      <c r="C37" s="78">
        <v>650</v>
      </c>
      <c r="D37" s="75">
        <v>5</v>
      </c>
      <c r="E37" s="76">
        <f t="shared" si="0"/>
        <v>13000</v>
      </c>
    </row>
    <row r="38" spans="1:8" x14ac:dyDescent="0.2">
      <c r="A38" s="13" t="s">
        <v>5</v>
      </c>
      <c r="B38" s="63">
        <v>1</v>
      </c>
      <c r="C38" s="78">
        <v>1000</v>
      </c>
      <c r="D38" s="75">
        <v>3</v>
      </c>
      <c r="E38" s="76">
        <f t="shared" si="0"/>
        <v>3000</v>
      </c>
    </row>
    <row r="39" spans="1:8" x14ac:dyDescent="0.2">
      <c r="A39" s="13" t="s">
        <v>6</v>
      </c>
      <c r="B39" s="63">
        <v>4</v>
      </c>
      <c r="C39" s="78">
        <v>700</v>
      </c>
      <c r="D39" s="75">
        <v>5</v>
      </c>
      <c r="E39" s="76">
        <f t="shared" si="0"/>
        <v>14000</v>
      </c>
    </row>
    <row r="40" spans="1:8" x14ac:dyDescent="0.2">
      <c r="A40" s="6" t="s">
        <v>7</v>
      </c>
      <c r="B40" s="80"/>
      <c r="C40" s="80"/>
      <c r="D40" s="80"/>
      <c r="E40" s="81">
        <f>SUM(E12:E39)</f>
        <v>286450</v>
      </c>
    </row>
    <row r="41" spans="1:8" ht="13.5" thickBot="1" x14ac:dyDescent="0.25">
      <c r="A41" s="7"/>
    </row>
    <row r="42" spans="1:8" ht="13.5" thickBot="1" x14ac:dyDescent="0.25">
      <c r="A42" s="27" t="s">
        <v>87</v>
      </c>
      <c r="B42" s="82"/>
      <c r="C42" s="82"/>
      <c r="D42" s="82"/>
      <c r="E42" s="83"/>
    </row>
    <row r="43" spans="1:8" x14ac:dyDescent="0.2">
      <c r="A43" s="13" t="s">
        <v>8</v>
      </c>
      <c r="B43" s="63">
        <v>38</v>
      </c>
      <c r="C43" s="74">
        <v>500</v>
      </c>
      <c r="D43" s="63">
        <v>1</v>
      </c>
      <c r="E43" s="84">
        <f t="shared" ref="E43:E48" si="1">B43*C43*D43</f>
        <v>19000</v>
      </c>
      <c r="F43" s="1">
        <v>38</v>
      </c>
      <c r="G43" s="34">
        <f t="shared" ref="G43:G48" si="2">F43*C43</f>
        <v>19000</v>
      </c>
      <c r="H43" s="55" t="s">
        <v>184</v>
      </c>
    </row>
    <row r="44" spans="1:8" x14ac:dyDescent="0.2">
      <c r="A44" s="13" t="s">
        <v>9</v>
      </c>
      <c r="B44" s="63">
        <v>1</v>
      </c>
      <c r="C44" s="74">
        <v>750</v>
      </c>
      <c r="D44" s="63">
        <v>1</v>
      </c>
      <c r="E44" s="84">
        <f t="shared" si="1"/>
        <v>750</v>
      </c>
      <c r="F44" s="1">
        <v>1</v>
      </c>
      <c r="G44" s="34">
        <f t="shared" si="2"/>
        <v>750</v>
      </c>
      <c r="H44" s="55" t="s">
        <v>188</v>
      </c>
    </row>
    <row r="45" spans="1:8" x14ac:dyDescent="0.2">
      <c r="A45" s="14" t="s">
        <v>81</v>
      </c>
      <c r="B45" s="63">
        <v>1</v>
      </c>
      <c r="C45" s="78">
        <v>1000</v>
      </c>
      <c r="D45" s="75">
        <v>1</v>
      </c>
      <c r="E45" s="76">
        <f t="shared" si="1"/>
        <v>1000</v>
      </c>
      <c r="F45" s="1">
        <v>1</v>
      </c>
      <c r="G45" s="34">
        <f t="shared" si="2"/>
        <v>1000</v>
      </c>
      <c r="H45" s="55" t="s">
        <v>188</v>
      </c>
    </row>
    <row r="46" spans="1:8" x14ac:dyDescent="0.2">
      <c r="A46" s="33" t="s">
        <v>98</v>
      </c>
      <c r="B46" s="63">
        <v>1</v>
      </c>
      <c r="C46" s="78">
        <v>500</v>
      </c>
      <c r="D46" s="75">
        <v>1</v>
      </c>
      <c r="E46" s="76">
        <f t="shared" si="1"/>
        <v>500</v>
      </c>
      <c r="F46" s="1">
        <v>1</v>
      </c>
      <c r="G46" s="34">
        <f t="shared" si="2"/>
        <v>500</v>
      </c>
      <c r="H46" s="55" t="s">
        <v>189</v>
      </c>
    </row>
    <row r="47" spans="1:8" x14ac:dyDescent="0.2">
      <c r="A47" s="13" t="s">
        <v>67</v>
      </c>
      <c r="B47" s="63">
        <v>2</v>
      </c>
      <c r="C47" s="78">
        <v>500</v>
      </c>
      <c r="D47" s="75">
        <v>1</v>
      </c>
      <c r="E47" s="76">
        <f t="shared" si="1"/>
        <v>1000</v>
      </c>
      <c r="F47" s="1">
        <v>2</v>
      </c>
      <c r="G47" s="34">
        <f t="shared" si="2"/>
        <v>1000</v>
      </c>
      <c r="H47" s="55" t="s">
        <v>188</v>
      </c>
    </row>
    <row r="48" spans="1:8" x14ac:dyDescent="0.2">
      <c r="A48" s="13" t="s">
        <v>35</v>
      </c>
      <c r="B48" s="63">
        <v>3</v>
      </c>
      <c r="C48" s="74">
        <v>500</v>
      </c>
      <c r="D48" s="63">
        <v>1</v>
      </c>
      <c r="E48" s="84">
        <f t="shared" si="1"/>
        <v>1500</v>
      </c>
      <c r="F48" s="1">
        <v>3</v>
      </c>
      <c r="G48" s="34">
        <f t="shared" si="2"/>
        <v>1500</v>
      </c>
      <c r="H48" s="55" t="s">
        <v>188</v>
      </c>
    </row>
    <row r="49" spans="1:8" x14ac:dyDescent="0.2">
      <c r="A49" s="6" t="s">
        <v>7</v>
      </c>
      <c r="B49" s="80"/>
      <c r="C49" s="85"/>
      <c r="D49" s="80"/>
      <c r="E49" s="81">
        <f>SUM(E43:E48)</f>
        <v>23750</v>
      </c>
    </row>
    <row r="50" spans="1:8" ht="13.5" thickBot="1" x14ac:dyDescent="0.25">
      <c r="A50" s="8"/>
    </row>
    <row r="51" spans="1:8" ht="13.5" thickBot="1" x14ac:dyDescent="0.25">
      <c r="A51" s="27" t="s">
        <v>10</v>
      </c>
      <c r="B51" s="82"/>
      <c r="C51" s="82"/>
      <c r="D51" s="82"/>
      <c r="E51" s="83"/>
    </row>
    <row r="52" spans="1:8" x14ac:dyDescent="0.2">
      <c r="A52" s="14" t="s">
        <v>62</v>
      </c>
      <c r="B52" s="86">
        <v>1</v>
      </c>
      <c r="C52" s="87">
        <v>150</v>
      </c>
      <c r="D52" s="86">
        <v>12</v>
      </c>
      <c r="E52" s="88">
        <f t="shared" ref="E52:E65" si="3">B52*C52*D52</f>
        <v>1800</v>
      </c>
      <c r="H52" s="55" t="s">
        <v>187</v>
      </c>
    </row>
    <row r="53" spans="1:8" x14ac:dyDescent="0.2">
      <c r="A53" s="13" t="s">
        <v>69</v>
      </c>
      <c r="B53" s="63">
        <v>1</v>
      </c>
      <c r="C53" s="74">
        <v>150</v>
      </c>
      <c r="D53" s="63">
        <v>8</v>
      </c>
      <c r="E53" s="76">
        <f t="shared" si="3"/>
        <v>1200</v>
      </c>
    </row>
    <row r="54" spans="1:8" x14ac:dyDescent="0.2">
      <c r="A54" s="13" t="s">
        <v>64</v>
      </c>
      <c r="B54" s="63">
        <v>1</v>
      </c>
      <c r="C54" s="74">
        <v>150</v>
      </c>
      <c r="D54" s="63">
        <v>2</v>
      </c>
      <c r="E54" s="76">
        <f t="shared" si="3"/>
        <v>300</v>
      </c>
      <c r="F54" s="1">
        <v>1</v>
      </c>
      <c r="G54" s="34">
        <f>F54*C54</f>
        <v>150</v>
      </c>
    </row>
    <row r="55" spans="1:8" x14ac:dyDescent="0.2">
      <c r="A55" s="13" t="s">
        <v>95</v>
      </c>
      <c r="B55" s="63">
        <v>1</v>
      </c>
      <c r="C55" s="74">
        <v>150</v>
      </c>
      <c r="D55" s="63">
        <v>9</v>
      </c>
      <c r="E55" s="76">
        <f t="shared" si="3"/>
        <v>1350</v>
      </c>
    </row>
    <row r="56" spans="1:8" x14ac:dyDescent="0.2">
      <c r="A56" s="13" t="s">
        <v>103</v>
      </c>
      <c r="B56" s="63">
        <v>30</v>
      </c>
      <c r="C56" s="74">
        <v>150</v>
      </c>
      <c r="D56" s="63">
        <v>2.5</v>
      </c>
      <c r="E56" s="76">
        <f t="shared" si="3"/>
        <v>11250</v>
      </c>
    </row>
    <row r="57" spans="1:8" x14ac:dyDescent="0.2">
      <c r="A57" s="13" t="s">
        <v>58</v>
      </c>
      <c r="B57" s="63">
        <v>30</v>
      </c>
      <c r="C57" s="74">
        <v>150</v>
      </c>
      <c r="D57" s="63">
        <v>1</v>
      </c>
      <c r="E57" s="76">
        <f t="shared" si="3"/>
        <v>4500</v>
      </c>
      <c r="F57" s="1">
        <v>30</v>
      </c>
      <c r="G57" s="34">
        <f>F57*C57</f>
        <v>4500</v>
      </c>
    </row>
    <row r="58" spans="1:8" x14ac:dyDescent="0.2">
      <c r="A58" s="13" t="s">
        <v>63</v>
      </c>
      <c r="B58" s="63">
        <v>3</v>
      </c>
      <c r="C58" s="74">
        <v>150</v>
      </c>
      <c r="D58" s="63">
        <v>3</v>
      </c>
      <c r="E58" s="76">
        <f t="shared" si="3"/>
        <v>1350</v>
      </c>
    </row>
    <row r="59" spans="1:8" x14ac:dyDescent="0.2">
      <c r="A59" s="13" t="s">
        <v>66</v>
      </c>
      <c r="B59" s="63">
        <v>3</v>
      </c>
      <c r="C59" s="74">
        <v>150</v>
      </c>
      <c r="D59" s="63">
        <v>2</v>
      </c>
      <c r="E59" s="76">
        <f t="shared" si="3"/>
        <v>900</v>
      </c>
    </row>
    <row r="60" spans="1:8" x14ac:dyDescent="0.2">
      <c r="A60" s="13" t="s">
        <v>74</v>
      </c>
      <c r="B60" s="63">
        <v>1</v>
      </c>
      <c r="C60" s="74">
        <v>150</v>
      </c>
      <c r="D60" s="63">
        <v>3</v>
      </c>
      <c r="E60" s="76">
        <f t="shared" si="3"/>
        <v>450</v>
      </c>
    </row>
    <row r="61" spans="1:8" x14ac:dyDescent="0.2">
      <c r="A61" s="13" t="s">
        <v>75</v>
      </c>
      <c r="B61" s="63">
        <v>1</v>
      </c>
      <c r="C61" s="74">
        <v>150</v>
      </c>
      <c r="D61" s="63">
        <v>1</v>
      </c>
      <c r="E61" s="76">
        <f t="shared" si="3"/>
        <v>150</v>
      </c>
      <c r="F61" s="1">
        <v>3</v>
      </c>
      <c r="G61" s="34">
        <f>F61*C61</f>
        <v>450</v>
      </c>
    </row>
    <row r="62" spans="1:8" x14ac:dyDescent="0.2">
      <c r="A62" s="13" t="s">
        <v>65</v>
      </c>
      <c r="B62" s="63">
        <v>10</v>
      </c>
      <c r="C62" s="74">
        <v>150</v>
      </c>
      <c r="D62" s="63">
        <v>8</v>
      </c>
      <c r="E62" s="76">
        <f t="shared" si="3"/>
        <v>12000</v>
      </c>
      <c r="H62" s="55" t="s">
        <v>185</v>
      </c>
    </row>
    <row r="63" spans="1:8" x14ac:dyDescent="0.2">
      <c r="A63" s="13" t="s">
        <v>82</v>
      </c>
      <c r="B63" s="63">
        <v>6</v>
      </c>
      <c r="C63" s="74">
        <v>900</v>
      </c>
      <c r="D63" s="63">
        <v>1</v>
      </c>
      <c r="E63" s="76">
        <f t="shared" si="3"/>
        <v>5400</v>
      </c>
    </row>
    <row r="64" spans="1:8" x14ac:dyDescent="0.2">
      <c r="A64" s="13" t="s">
        <v>56</v>
      </c>
      <c r="B64" s="63">
        <v>6</v>
      </c>
      <c r="C64" s="74">
        <v>100</v>
      </c>
      <c r="D64" s="63">
        <v>3.5</v>
      </c>
      <c r="E64" s="76">
        <f t="shared" si="3"/>
        <v>2100</v>
      </c>
      <c r="F64" s="1">
        <v>6</v>
      </c>
      <c r="G64" s="34">
        <f>F64*C64</f>
        <v>600</v>
      </c>
      <c r="H64" s="55" t="s">
        <v>186</v>
      </c>
    </row>
    <row r="65" spans="1:8" x14ac:dyDescent="0.2">
      <c r="A65" s="13" t="s">
        <v>88</v>
      </c>
      <c r="B65" s="63">
        <v>6</v>
      </c>
      <c r="C65" s="74">
        <v>150</v>
      </c>
      <c r="D65" s="63">
        <v>3.5</v>
      </c>
      <c r="E65" s="76">
        <f t="shared" si="3"/>
        <v>3150</v>
      </c>
      <c r="F65" s="1">
        <v>6</v>
      </c>
      <c r="G65" s="34">
        <f>F65*C65</f>
        <v>900</v>
      </c>
    </row>
    <row r="66" spans="1:8" x14ac:dyDescent="0.2">
      <c r="A66" s="13" t="s">
        <v>60</v>
      </c>
      <c r="B66" s="63"/>
      <c r="C66" s="63"/>
      <c r="D66" s="63"/>
      <c r="E66" s="76">
        <v>2500</v>
      </c>
    </row>
    <row r="67" spans="1:8" x14ac:dyDescent="0.2">
      <c r="A67" s="13" t="s">
        <v>57</v>
      </c>
      <c r="B67" s="63"/>
      <c r="C67" s="63"/>
      <c r="D67" s="63"/>
      <c r="E67" s="76">
        <v>5000</v>
      </c>
    </row>
    <row r="68" spans="1:8" x14ac:dyDescent="0.2">
      <c r="A68" s="13" t="s">
        <v>89</v>
      </c>
      <c r="B68" s="63"/>
      <c r="C68" s="63"/>
      <c r="D68" s="63"/>
      <c r="E68" s="76">
        <v>2500</v>
      </c>
    </row>
    <row r="69" spans="1:8" x14ac:dyDescent="0.2">
      <c r="A69" s="13" t="s">
        <v>51</v>
      </c>
      <c r="B69" s="63"/>
      <c r="C69" s="63"/>
      <c r="D69" s="63"/>
      <c r="E69" s="76">
        <v>5000</v>
      </c>
    </row>
    <row r="70" spans="1:8" x14ac:dyDescent="0.2">
      <c r="A70" s="6" t="s">
        <v>7</v>
      </c>
      <c r="B70" s="63"/>
      <c r="C70" s="63"/>
      <c r="D70" s="63"/>
      <c r="E70" s="81">
        <f>SUM(E52:E69)</f>
        <v>60900</v>
      </c>
    </row>
    <row r="71" spans="1:8" ht="13.5" thickBot="1" x14ac:dyDescent="0.25">
      <c r="A71" s="8"/>
    </row>
    <row r="72" spans="1:8" x14ac:dyDescent="0.2">
      <c r="A72" s="28" t="s">
        <v>11</v>
      </c>
      <c r="B72" s="89"/>
      <c r="C72" s="89"/>
      <c r="D72" s="89"/>
      <c r="E72" s="90"/>
    </row>
    <row r="73" spans="1:8" x14ac:dyDescent="0.2">
      <c r="A73" s="4" t="s">
        <v>72</v>
      </c>
      <c r="B73" s="63"/>
      <c r="C73" s="63"/>
      <c r="D73" s="63"/>
      <c r="E73" s="76">
        <v>7500</v>
      </c>
    </row>
    <row r="74" spans="1:8" x14ac:dyDescent="0.2">
      <c r="A74" s="4" t="s">
        <v>12</v>
      </c>
      <c r="B74" s="63"/>
      <c r="C74" s="63"/>
      <c r="D74" s="63"/>
      <c r="E74" s="76">
        <v>150000</v>
      </c>
      <c r="G74" s="34">
        <v>1000</v>
      </c>
      <c r="H74" s="55" t="s">
        <v>191</v>
      </c>
    </row>
    <row r="75" spans="1:8" x14ac:dyDescent="0.2">
      <c r="A75" s="4" t="s">
        <v>13</v>
      </c>
      <c r="B75" s="63"/>
      <c r="C75" s="63"/>
      <c r="D75" s="63"/>
      <c r="E75" s="76">
        <v>5000</v>
      </c>
    </row>
    <row r="76" spans="1:8" x14ac:dyDescent="0.2">
      <c r="A76" s="4" t="s">
        <v>31</v>
      </c>
      <c r="B76" s="63"/>
      <c r="C76" s="63"/>
      <c r="D76" s="63"/>
      <c r="E76" s="76">
        <v>5000</v>
      </c>
    </row>
    <row r="77" spans="1:8" x14ac:dyDescent="0.2">
      <c r="A77" s="13" t="s">
        <v>14</v>
      </c>
      <c r="B77" s="63"/>
      <c r="C77" s="63"/>
      <c r="D77" s="63"/>
      <c r="E77" s="76">
        <v>75000</v>
      </c>
      <c r="G77" s="34">
        <v>1000</v>
      </c>
    </row>
    <row r="78" spans="1:8" x14ac:dyDescent="0.2">
      <c r="A78" s="13" t="s">
        <v>26</v>
      </c>
      <c r="B78" s="63"/>
      <c r="C78" s="63"/>
      <c r="D78" s="63"/>
      <c r="E78" s="76">
        <v>1500</v>
      </c>
    </row>
    <row r="79" spans="1:8" x14ac:dyDescent="0.2">
      <c r="A79" s="13" t="s">
        <v>92</v>
      </c>
      <c r="B79" s="63"/>
      <c r="C79" s="63"/>
      <c r="D79" s="63"/>
      <c r="E79" s="76">
        <v>3000</v>
      </c>
    </row>
    <row r="80" spans="1:8" x14ac:dyDescent="0.2">
      <c r="A80" s="4" t="s">
        <v>15</v>
      </c>
      <c r="B80" s="63"/>
      <c r="C80" s="63"/>
      <c r="D80" s="63"/>
      <c r="E80" s="76">
        <v>5000</v>
      </c>
    </row>
    <row r="81" spans="1:8" x14ac:dyDescent="0.2">
      <c r="A81" s="6" t="s">
        <v>7</v>
      </c>
      <c r="B81" s="63"/>
      <c r="C81" s="63"/>
      <c r="D81" s="63"/>
      <c r="E81" s="81">
        <f>SUM(E73:E80)</f>
        <v>252000</v>
      </c>
    </row>
    <row r="82" spans="1:8" ht="13.5" thickBot="1" x14ac:dyDescent="0.25">
      <c r="A82" s="7"/>
    </row>
    <row r="83" spans="1:8" x14ac:dyDescent="0.2">
      <c r="A83" s="28" t="s">
        <v>16</v>
      </c>
      <c r="B83" s="89"/>
      <c r="C83" s="89"/>
      <c r="D83" s="89"/>
      <c r="E83" s="90"/>
    </row>
    <row r="84" spans="1:8" x14ac:dyDescent="0.2">
      <c r="A84" s="4" t="s">
        <v>79</v>
      </c>
      <c r="B84" s="63">
        <v>1</v>
      </c>
      <c r="C84" s="74">
        <v>500</v>
      </c>
      <c r="D84" s="63">
        <v>3</v>
      </c>
      <c r="E84" s="76">
        <f>B84*C84*D84</f>
        <v>1500</v>
      </c>
      <c r="F84" s="1">
        <v>1</v>
      </c>
      <c r="G84" s="34">
        <f>F84*C84</f>
        <v>500</v>
      </c>
    </row>
    <row r="85" spans="1:8" x14ac:dyDescent="0.2">
      <c r="A85" s="4" t="s">
        <v>71</v>
      </c>
      <c r="B85" s="63">
        <v>12</v>
      </c>
      <c r="C85" s="74">
        <v>400</v>
      </c>
      <c r="D85" s="63">
        <v>1.5</v>
      </c>
      <c r="E85" s="76">
        <f>B85*C85*D85</f>
        <v>7200</v>
      </c>
      <c r="F85" s="1">
        <v>12</v>
      </c>
      <c r="G85" s="34">
        <f>F85*C85</f>
        <v>4800</v>
      </c>
      <c r="H85" s="55" t="s">
        <v>190</v>
      </c>
    </row>
    <row r="86" spans="1:8" x14ac:dyDescent="0.2">
      <c r="A86" s="4" t="s">
        <v>70</v>
      </c>
      <c r="B86" s="63">
        <v>4</v>
      </c>
      <c r="C86" s="74">
        <v>100</v>
      </c>
      <c r="D86" s="63">
        <v>1.5</v>
      </c>
      <c r="E86" s="76">
        <f>B86*C86*D86</f>
        <v>600</v>
      </c>
      <c r="F86" s="1">
        <v>4</v>
      </c>
      <c r="G86" s="34">
        <f>F86*C86</f>
        <v>400</v>
      </c>
      <c r="H86" s="55" t="s">
        <v>190</v>
      </c>
    </row>
    <row r="87" spans="1:8" x14ac:dyDescent="0.2">
      <c r="A87" s="6" t="s">
        <v>7</v>
      </c>
      <c r="B87" s="63"/>
      <c r="C87" s="63"/>
      <c r="D87" s="63"/>
      <c r="E87" s="81">
        <f>SUM(E84:E85)</f>
        <v>8700</v>
      </c>
    </row>
    <row r="88" spans="1:8" x14ac:dyDescent="0.2">
      <c r="A88" s="7"/>
    </row>
    <row r="89" spans="1:8" x14ac:dyDescent="0.2">
      <c r="A89" s="29" t="s">
        <v>24</v>
      </c>
      <c r="B89" s="70"/>
      <c r="C89" s="70"/>
      <c r="D89" s="70"/>
      <c r="E89" s="71"/>
    </row>
    <row r="90" spans="1:8" x14ac:dyDescent="0.2">
      <c r="A90" s="4" t="s">
        <v>25</v>
      </c>
      <c r="B90" s="63">
        <v>1</v>
      </c>
      <c r="C90" s="74">
        <v>100</v>
      </c>
      <c r="D90" s="63">
        <v>3</v>
      </c>
      <c r="E90" s="76">
        <f>B90*C90*D90</f>
        <v>300</v>
      </c>
      <c r="F90" s="1">
        <v>1</v>
      </c>
      <c r="G90" s="34">
        <f>F90*C90</f>
        <v>100</v>
      </c>
    </row>
    <row r="91" spans="1:8" x14ac:dyDescent="0.2">
      <c r="A91" s="4" t="s">
        <v>42</v>
      </c>
      <c r="B91" s="63">
        <v>1</v>
      </c>
      <c r="C91" s="74">
        <v>300</v>
      </c>
      <c r="D91" s="63">
        <v>2</v>
      </c>
      <c r="E91" s="76">
        <f>B91*C91*D91</f>
        <v>600</v>
      </c>
      <c r="F91" s="1">
        <v>1</v>
      </c>
      <c r="G91" s="34">
        <v>8</v>
      </c>
    </row>
    <row r="92" spans="1:8" x14ac:dyDescent="0.2">
      <c r="A92" s="4" t="s">
        <v>30</v>
      </c>
      <c r="B92" s="63">
        <v>1</v>
      </c>
      <c r="C92" s="74">
        <v>300</v>
      </c>
      <c r="D92" s="63">
        <v>1</v>
      </c>
      <c r="E92" s="76">
        <f>B92*C92*D92</f>
        <v>300</v>
      </c>
      <c r="F92" s="1">
        <v>1</v>
      </c>
      <c r="G92" s="34">
        <f>F92*C92</f>
        <v>300</v>
      </c>
    </row>
    <row r="93" spans="1:8" x14ac:dyDescent="0.2">
      <c r="A93" s="4" t="s">
        <v>27</v>
      </c>
      <c r="B93" s="63">
        <v>1</v>
      </c>
      <c r="C93" s="74">
        <v>200</v>
      </c>
      <c r="D93" s="63">
        <v>1</v>
      </c>
      <c r="E93" s="76">
        <f>B93*C93*D93</f>
        <v>200</v>
      </c>
      <c r="F93" s="1">
        <v>1</v>
      </c>
      <c r="G93" s="34">
        <f>F93*C93</f>
        <v>200</v>
      </c>
    </row>
    <row r="94" spans="1:8" x14ac:dyDescent="0.2">
      <c r="A94" s="6" t="s">
        <v>7</v>
      </c>
      <c r="B94" s="63"/>
      <c r="C94" s="63"/>
      <c r="D94" s="63"/>
      <c r="E94" s="81">
        <f>SUM(E90:E93)</f>
        <v>1400</v>
      </c>
    </row>
    <row r="95" spans="1:8" ht="13.5" thickBot="1" x14ac:dyDescent="0.25">
      <c r="A95" s="7"/>
    </row>
    <row r="96" spans="1:8" x14ac:dyDescent="0.2">
      <c r="A96" s="28" t="s">
        <v>17</v>
      </c>
      <c r="B96" s="89"/>
      <c r="C96" s="89"/>
      <c r="D96" s="89"/>
      <c r="E96" s="90"/>
    </row>
    <row r="97" spans="1:8" x14ac:dyDescent="0.2">
      <c r="A97" s="4" t="s">
        <v>44</v>
      </c>
      <c r="B97" s="63"/>
      <c r="C97" s="63"/>
      <c r="D97" s="63"/>
      <c r="E97" s="91">
        <v>2000</v>
      </c>
    </row>
    <row r="98" spans="1:8" x14ac:dyDescent="0.2">
      <c r="A98" s="4" t="s">
        <v>18</v>
      </c>
      <c r="B98" s="63"/>
      <c r="C98" s="63"/>
      <c r="D98" s="63"/>
      <c r="E98" s="91">
        <v>5000</v>
      </c>
      <c r="H98" s="55" t="s">
        <v>138</v>
      </c>
    </row>
    <row r="99" spans="1:8" ht="25.5" x14ac:dyDescent="0.2">
      <c r="A99" s="4" t="s">
        <v>19</v>
      </c>
      <c r="B99" s="63"/>
      <c r="C99" s="63"/>
      <c r="D99" s="63"/>
      <c r="E99" s="91">
        <v>1000</v>
      </c>
      <c r="H99" s="55" t="s">
        <v>139</v>
      </c>
    </row>
    <row r="100" spans="1:8" x14ac:dyDescent="0.2">
      <c r="A100" s="4" t="s">
        <v>23</v>
      </c>
      <c r="B100" s="63"/>
      <c r="C100" s="63"/>
      <c r="D100" s="63"/>
      <c r="E100" s="91">
        <v>3500</v>
      </c>
      <c r="H100" s="55" t="s">
        <v>140</v>
      </c>
    </row>
    <row r="101" spans="1:8" x14ac:dyDescent="0.2">
      <c r="A101" s="6" t="s">
        <v>7</v>
      </c>
      <c r="B101" s="80"/>
      <c r="C101" s="80"/>
      <c r="D101" s="80"/>
      <c r="E101" s="81">
        <f>SUM(E97:E100)</f>
        <v>11500</v>
      </c>
    </row>
    <row r="102" spans="1:8" x14ac:dyDescent="0.2">
      <c r="A102" s="7"/>
    </row>
    <row r="103" spans="1:8" x14ac:dyDescent="0.2">
      <c r="A103" s="29" t="s">
        <v>20</v>
      </c>
      <c r="B103" s="70"/>
      <c r="C103" s="70"/>
      <c r="D103" s="70"/>
      <c r="E103" s="71"/>
    </row>
    <row r="104" spans="1:8" x14ac:dyDescent="0.2">
      <c r="A104" s="4" t="s">
        <v>102</v>
      </c>
      <c r="B104" s="63">
        <v>2</v>
      </c>
      <c r="C104" s="63">
        <v>150</v>
      </c>
      <c r="D104" s="63">
        <v>2</v>
      </c>
      <c r="E104" s="76">
        <f>B104*C104*D104</f>
        <v>600</v>
      </c>
    </row>
    <row r="105" spans="1:8" x14ac:dyDescent="0.2">
      <c r="A105" s="6" t="s">
        <v>7</v>
      </c>
      <c r="B105" s="80"/>
      <c r="C105" s="80"/>
      <c r="D105" s="80"/>
      <c r="E105" s="81">
        <f>SUM(E104)</f>
        <v>600</v>
      </c>
    </row>
    <row r="106" spans="1:8" x14ac:dyDescent="0.2">
      <c r="A106" s="7"/>
    </row>
    <row r="107" spans="1:8" x14ac:dyDescent="0.2">
      <c r="A107" s="29" t="s">
        <v>90</v>
      </c>
      <c r="B107" s="70"/>
      <c r="C107" s="70"/>
      <c r="D107" s="70"/>
      <c r="E107" s="71"/>
    </row>
    <row r="108" spans="1:8" s="24" customFormat="1" x14ac:dyDescent="0.2">
      <c r="A108" s="4" t="s">
        <v>96</v>
      </c>
      <c r="B108" s="63"/>
      <c r="C108" s="74"/>
      <c r="D108" s="63"/>
      <c r="E108" s="76">
        <v>15000</v>
      </c>
      <c r="H108" s="56"/>
    </row>
    <row r="109" spans="1:8" x14ac:dyDescent="0.2">
      <c r="A109" s="4" t="s">
        <v>40</v>
      </c>
      <c r="B109" s="63"/>
      <c r="C109" s="63"/>
      <c r="D109" s="63"/>
      <c r="E109" s="76">
        <v>2000</v>
      </c>
    </row>
    <row r="110" spans="1:8" x14ac:dyDescent="0.2">
      <c r="A110" s="4" t="s">
        <v>21</v>
      </c>
      <c r="B110" s="63"/>
      <c r="C110" s="63"/>
      <c r="D110" s="63"/>
      <c r="E110" s="76">
        <v>0</v>
      </c>
    </row>
    <row r="111" spans="1:8" x14ac:dyDescent="0.2">
      <c r="A111" s="4" t="s">
        <v>38</v>
      </c>
      <c r="B111" s="63"/>
      <c r="C111" s="63"/>
      <c r="D111" s="63"/>
      <c r="E111" s="76">
        <v>15000</v>
      </c>
      <c r="G111" s="34">
        <v>500</v>
      </c>
    </row>
    <row r="112" spans="1:8" x14ac:dyDescent="0.2">
      <c r="A112" s="6" t="s">
        <v>7</v>
      </c>
      <c r="B112" s="63"/>
      <c r="C112" s="63"/>
      <c r="D112" s="63"/>
      <c r="E112" s="81">
        <f>SUM(E108:E111)</f>
        <v>32000</v>
      </c>
    </row>
    <row r="113" spans="1:8" x14ac:dyDescent="0.2">
      <c r="A113" s="7"/>
    </row>
    <row r="114" spans="1:8" s="2" customFormat="1" x14ac:dyDescent="0.2">
      <c r="A114" s="30" t="s">
        <v>100</v>
      </c>
      <c r="B114" s="72"/>
      <c r="C114" s="72"/>
      <c r="D114" s="72"/>
      <c r="E114" s="73">
        <f>E112+E105+E101+E94+E87+E81+E49+E40+E70</f>
        <v>677300</v>
      </c>
      <c r="G114" s="2">
        <f>SUM(G12:G113)</f>
        <v>39158</v>
      </c>
      <c r="H114" s="57"/>
    </row>
    <row r="115" spans="1:8" s="9" customFormat="1" x14ac:dyDescent="0.2">
      <c r="A115" s="7"/>
      <c r="B115" s="92"/>
      <c r="C115" s="92"/>
      <c r="D115" s="92"/>
      <c r="E115" s="93"/>
      <c r="H115" s="58"/>
    </row>
    <row r="116" spans="1:8" x14ac:dyDescent="0.2">
      <c r="A116" s="30" t="s">
        <v>99</v>
      </c>
      <c r="B116" s="70"/>
      <c r="C116" s="70"/>
      <c r="D116" s="70"/>
      <c r="E116" s="73">
        <v>30000</v>
      </c>
    </row>
    <row r="117" spans="1:8" x14ac:dyDescent="0.2">
      <c r="A117" s="7"/>
      <c r="B117" s="94"/>
      <c r="C117" s="94"/>
      <c r="D117" s="94"/>
      <c r="E117" s="93"/>
    </row>
    <row r="118" spans="1:8" x14ac:dyDescent="0.2">
      <c r="A118" s="30" t="s">
        <v>101</v>
      </c>
      <c r="B118" s="70"/>
      <c r="C118" s="70"/>
      <c r="D118" s="70"/>
      <c r="E118" s="73">
        <f>E114+E116</f>
        <v>707300</v>
      </c>
    </row>
    <row r="120" spans="1:8" x14ac:dyDescent="0.2">
      <c r="A120" s="10" t="s">
        <v>22</v>
      </c>
      <c r="B120" s="68"/>
      <c r="C120" s="68"/>
      <c r="D120" s="68"/>
      <c r="E120" s="68"/>
    </row>
    <row r="121" spans="1:8" x14ac:dyDescent="0.2">
      <c r="A121" s="10"/>
      <c r="B121" s="68"/>
      <c r="C121" s="68"/>
      <c r="D121" s="68"/>
      <c r="E121" s="68"/>
    </row>
    <row r="122" spans="1:8" x14ac:dyDescent="0.2">
      <c r="A122" s="10" t="s">
        <v>47</v>
      </c>
      <c r="B122" s="68"/>
      <c r="C122" s="68"/>
      <c r="D122" s="68"/>
      <c r="E122" s="18">
        <v>360</v>
      </c>
    </row>
    <row r="123" spans="1:8" x14ac:dyDescent="0.2">
      <c r="A123" s="10" t="s">
        <v>97</v>
      </c>
      <c r="B123" s="68"/>
      <c r="C123" s="68"/>
      <c r="D123" s="68"/>
      <c r="E123" s="19">
        <v>8</v>
      </c>
    </row>
    <row r="124" spans="1:8" x14ac:dyDescent="0.2">
      <c r="A124" s="10" t="s">
        <v>91</v>
      </c>
      <c r="B124" s="68"/>
      <c r="C124" s="68"/>
      <c r="D124" s="68"/>
      <c r="E124" s="19">
        <f>+E122*E123</f>
        <v>2880</v>
      </c>
    </row>
    <row r="125" spans="1:8" x14ac:dyDescent="0.2">
      <c r="A125" s="10"/>
      <c r="B125" s="68"/>
      <c r="C125" s="68"/>
      <c r="D125" s="68"/>
      <c r="E125" s="17"/>
    </row>
    <row r="126" spans="1:8" ht="15.75" x14ac:dyDescent="0.25">
      <c r="A126" s="11"/>
      <c r="B126" s="95"/>
      <c r="C126" s="96"/>
      <c r="D126" s="96"/>
      <c r="E126" s="22"/>
    </row>
    <row r="127" spans="1:8" ht="15.75" x14ac:dyDescent="0.25">
      <c r="A127" s="32" t="s">
        <v>45</v>
      </c>
      <c r="B127" s="97"/>
      <c r="C127" s="97"/>
      <c r="D127" s="97"/>
      <c r="E127" s="31">
        <f>(E40+E53+E55+E56+E58+E62+E66+E67+E69+E81+E108+E111)*80%*0.2</f>
        <v>97296</v>
      </c>
    </row>
    <row r="128" spans="1:8" ht="15.75" x14ac:dyDescent="0.25">
      <c r="A128" s="11"/>
      <c r="B128" s="95"/>
      <c r="C128" s="96"/>
      <c r="D128" s="96"/>
      <c r="E128" s="20"/>
    </row>
    <row r="129" spans="1:10" ht="14.1" customHeight="1" x14ac:dyDescent="0.2">
      <c r="A129" s="10"/>
      <c r="B129" s="98"/>
      <c r="C129" s="68"/>
      <c r="D129" s="68"/>
      <c r="E129" s="68"/>
      <c r="F129" s="2"/>
      <c r="G129" s="11"/>
      <c r="H129" s="59"/>
      <c r="I129" s="11"/>
      <c r="J129" s="17"/>
    </row>
    <row r="130" spans="1:10" ht="14.1" customHeight="1" x14ac:dyDescent="0.2">
      <c r="A130" s="10"/>
      <c r="B130" s="98"/>
      <c r="C130" s="68"/>
      <c r="D130" s="68"/>
      <c r="E130" s="68"/>
      <c r="F130" s="2"/>
      <c r="G130" s="11"/>
      <c r="H130" s="59"/>
      <c r="I130" s="11"/>
      <c r="J130" s="17"/>
    </row>
    <row r="131" spans="1:10" x14ac:dyDescent="0.2">
      <c r="A131" s="11"/>
      <c r="B131" s="68"/>
      <c r="C131" s="68"/>
      <c r="D131" s="68"/>
      <c r="E131" s="68"/>
      <c r="F131" s="11"/>
      <c r="G131" s="11"/>
      <c r="H131" s="59"/>
      <c r="I131" s="11"/>
      <c r="J131" s="16"/>
    </row>
  </sheetData>
  <mergeCells count="1">
    <mergeCell ref="A3:E3"/>
  </mergeCells>
  <pageMargins left="0.75" right="0.75" top="1" bottom="1" header="0.5" footer="0.5"/>
  <pageSetup paperSize="9" scale="79" fitToHeight="0" orientation="landscape" r:id="rId1"/>
  <rowBreaks count="3" manualBreakCount="3">
    <brk id="40" max="16383" man="1"/>
    <brk id="82" max="16383" man="1"/>
    <brk id="119" max="16383" man="1"/>
  </rowBreaks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opLeftCell="A7" workbookViewId="0">
      <selection activeCell="F34" sqref="F34"/>
    </sheetView>
  </sheetViews>
  <sheetFormatPr defaultRowHeight="15.75" x14ac:dyDescent="0.25"/>
  <cols>
    <col min="1" max="1" width="29.125" customWidth="1"/>
    <col min="2" max="2" width="8.875" customWidth="1"/>
    <col min="3" max="3" width="9.875" style="35" bestFit="1" customWidth="1"/>
    <col min="4" max="4" width="15.375" style="36" customWidth="1"/>
    <col min="5" max="5" width="18.125" style="36" customWidth="1"/>
    <col min="6" max="6" width="28.125" style="36" customWidth="1"/>
    <col min="7" max="7" width="22.75" style="36" customWidth="1"/>
  </cols>
  <sheetData>
    <row r="2" spans="1:4" x14ac:dyDescent="0.25">
      <c r="A2" t="s">
        <v>160</v>
      </c>
      <c r="B2">
        <v>360</v>
      </c>
    </row>
    <row r="3" spans="1:4" x14ac:dyDescent="0.25">
      <c r="A3" t="s">
        <v>111</v>
      </c>
      <c r="B3">
        <v>8</v>
      </c>
    </row>
    <row r="4" spans="1:4" x14ac:dyDescent="0.25">
      <c r="A4" t="s">
        <v>161</v>
      </c>
      <c r="B4">
        <f>B3*B2</f>
        <v>2880</v>
      </c>
    </row>
    <row r="6" spans="1:4" x14ac:dyDescent="0.25">
      <c r="A6" t="s">
        <v>166</v>
      </c>
      <c r="B6" t="s">
        <v>163</v>
      </c>
      <c r="C6" s="35" t="s">
        <v>164</v>
      </c>
    </row>
    <row r="7" spans="1:4" x14ac:dyDescent="0.25">
      <c r="A7" t="s">
        <v>162</v>
      </c>
      <c r="B7" t="s">
        <v>165</v>
      </c>
      <c r="C7" s="35" t="s">
        <v>164</v>
      </c>
    </row>
    <row r="9" spans="1:4" x14ac:dyDescent="0.25">
      <c r="A9" t="s">
        <v>167</v>
      </c>
      <c r="B9">
        <f>B2*35</f>
        <v>12600</v>
      </c>
      <c r="D9" s="36" t="s">
        <v>169</v>
      </c>
    </row>
    <row r="10" spans="1:4" x14ac:dyDescent="0.25">
      <c r="A10" t="s">
        <v>168</v>
      </c>
      <c r="B10">
        <f>B9*0.75</f>
        <v>9450</v>
      </c>
    </row>
    <row r="12" spans="1:4" x14ac:dyDescent="0.25">
      <c r="B12" t="s">
        <v>106</v>
      </c>
      <c r="C12" t="s">
        <v>107</v>
      </c>
    </row>
    <row r="13" spans="1:4" x14ac:dyDescent="0.25">
      <c r="A13" s="36" t="s">
        <v>104</v>
      </c>
      <c r="B13" s="36">
        <v>9</v>
      </c>
      <c r="C13" s="36">
        <f>B13/6*5</f>
        <v>7.5</v>
      </c>
    </row>
    <row r="14" spans="1:4" x14ac:dyDescent="0.25">
      <c r="A14" s="36" t="s">
        <v>105</v>
      </c>
      <c r="B14" s="36">
        <v>18</v>
      </c>
      <c r="C14" s="36">
        <f>B14/6*5</f>
        <v>15</v>
      </c>
    </row>
    <row r="17" spans="1:7" x14ac:dyDescent="0.25">
      <c r="A17" s="37" t="s">
        <v>112</v>
      </c>
      <c r="D17" s="36" t="s">
        <v>109</v>
      </c>
      <c r="E17" s="36" t="s">
        <v>110</v>
      </c>
    </row>
    <row r="18" spans="1:7" x14ac:dyDescent="0.25">
      <c r="A18" t="s">
        <v>108</v>
      </c>
      <c r="C18" s="35">
        <v>1</v>
      </c>
      <c r="D18" s="36">
        <f>360*C13</f>
        <v>2700</v>
      </c>
      <c r="E18" s="36">
        <f>D18*8</f>
        <v>21600</v>
      </c>
    </row>
    <row r="19" spans="1:7" x14ac:dyDescent="0.25">
      <c r="C19" s="35">
        <v>0.85</v>
      </c>
      <c r="D19" s="36">
        <f>C19*B2*C13</f>
        <v>2295</v>
      </c>
      <c r="E19" s="36">
        <f>D19*8</f>
        <v>18360</v>
      </c>
    </row>
    <row r="20" spans="1:7" s="38" customFormat="1" x14ac:dyDescent="0.25">
      <c r="C20" s="39">
        <v>0.75</v>
      </c>
      <c r="D20" s="40">
        <f>C20*B2*C13</f>
        <v>2025</v>
      </c>
      <c r="E20" s="40">
        <f>D20*8</f>
        <v>16200</v>
      </c>
      <c r="F20" s="40"/>
      <c r="G20" s="40"/>
    </row>
    <row r="21" spans="1:7" x14ac:dyDescent="0.25">
      <c r="C21" s="35">
        <v>0.65</v>
      </c>
      <c r="D21" s="36">
        <f>C21*B2*C13</f>
        <v>1755</v>
      </c>
      <c r="E21" s="36">
        <f>D21*8</f>
        <v>14040</v>
      </c>
    </row>
    <row r="22" spans="1:7" x14ac:dyDescent="0.25">
      <c r="C22" s="35">
        <v>0.5</v>
      </c>
      <c r="D22" s="36">
        <f>C22*B2*C13</f>
        <v>1350</v>
      </c>
      <c r="E22" s="36">
        <f>D22*8</f>
        <v>10800</v>
      </c>
    </row>
    <row r="24" spans="1:7" x14ac:dyDescent="0.25">
      <c r="A24" s="37" t="s">
        <v>115</v>
      </c>
      <c r="D24" s="36" t="s">
        <v>109</v>
      </c>
      <c r="E24" s="36" t="s">
        <v>110</v>
      </c>
    </row>
    <row r="25" spans="1:7" x14ac:dyDescent="0.25">
      <c r="A25" t="s">
        <v>108</v>
      </c>
      <c r="C25" s="35">
        <v>1</v>
      </c>
      <c r="D25" s="36">
        <f>((B2*0.75)*C13)+((B2*0.25)*C14)</f>
        <v>3375</v>
      </c>
      <c r="E25" s="36">
        <f>D25*8</f>
        <v>27000</v>
      </c>
    </row>
    <row r="26" spans="1:7" x14ac:dyDescent="0.25">
      <c r="C26" s="35">
        <v>0.85</v>
      </c>
      <c r="D26" s="36">
        <f>D25*C26</f>
        <v>2868.75</v>
      </c>
      <c r="E26" s="36">
        <f>D26*8</f>
        <v>22950</v>
      </c>
    </row>
    <row r="27" spans="1:7" s="38" customFormat="1" x14ac:dyDescent="0.25">
      <c r="C27" s="39">
        <v>0.75</v>
      </c>
      <c r="D27" s="40">
        <f>D25*C27</f>
        <v>2531.25</v>
      </c>
      <c r="E27" s="40">
        <f>D27*8</f>
        <v>20250</v>
      </c>
      <c r="F27" s="40"/>
      <c r="G27" s="40"/>
    </row>
    <row r="28" spans="1:7" x14ac:dyDescent="0.25">
      <c r="C28" s="35">
        <v>0.65</v>
      </c>
      <c r="D28" s="36">
        <f>D25*C28</f>
        <v>2193.75</v>
      </c>
      <c r="E28" s="36">
        <f>D28*8</f>
        <v>17550</v>
      </c>
    </row>
    <row r="29" spans="1:7" x14ac:dyDescent="0.25">
      <c r="C29" s="35">
        <v>0.5</v>
      </c>
      <c r="D29" s="36">
        <f>D25*C29</f>
        <v>1687.5</v>
      </c>
      <c r="E29" s="36">
        <f>D29*8</f>
        <v>13500</v>
      </c>
    </row>
    <row r="31" spans="1:7" x14ac:dyDescent="0.25">
      <c r="A31" s="37" t="s">
        <v>116</v>
      </c>
      <c r="D31" s="36" t="s">
        <v>109</v>
      </c>
      <c r="E31" s="36" t="s">
        <v>110</v>
      </c>
      <c r="F31" s="36" t="s">
        <v>170</v>
      </c>
    </row>
    <row r="32" spans="1:7" x14ac:dyDescent="0.25">
      <c r="A32" t="s">
        <v>108</v>
      </c>
      <c r="C32" s="35">
        <v>1</v>
      </c>
      <c r="D32" s="36">
        <f>((360*0.5)*C13)+((B2*0.5)*C14)</f>
        <v>4050</v>
      </c>
      <c r="E32" s="36">
        <f>D32*8</f>
        <v>32400</v>
      </c>
    </row>
    <row r="33" spans="1:7" x14ac:dyDescent="0.25">
      <c r="C33" s="35">
        <v>0.85</v>
      </c>
      <c r="D33" s="36">
        <f>D32*C33</f>
        <v>3442.5</v>
      </c>
      <c r="E33" s="36">
        <f>D33*8</f>
        <v>27540</v>
      </c>
    </row>
    <row r="34" spans="1:7" s="38" customFormat="1" x14ac:dyDescent="0.25">
      <c r="C34" s="39">
        <v>0.75</v>
      </c>
      <c r="D34" s="40">
        <f>D32*C34</f>
        <v>3037.5</v>
      </c>
      <c r="E34" s="40">
        <f>D34*8</f>
        <v>24300</v>
      </c>
      <c r="F34" s="40">
        <f>D34*35</f>
        <v>106312.5</v>
      </c>
      <c r="G34" s="40"/>
    </row>
    <row r="35" spans="1:7" x14ac:dyDescent="0.25">
      <c r="C35" s="35">
        <v>0.65</v>
      </c>
      <c r="D35" s="36">
        <f>D32*C35</f>
        <v>2632.5</v>
      </c>
      <c r="E35" s="36">
        <f>D35*8</f>
        <v>21060</v>
      </c>
    </row>
    <row r="36" spans="1:7" x14ac:dyDescent="0.25">
      <c r="C36" s="35">
        <v>0.5</v>
      </c>
      <c r="D36" s="36">
        <f>D32*C36</f>
        <v>2025</v>
      </c>
      <c r="E36" s="36">
        <f>D36*8</f>
        <v>16200</v>
      </c>
    </row>
    <row r="39" spans="1:7" x14ac:dyDescent="0.25">
      <c r="A39" s="37" t="s">
        <v>114</v>
      </c>
      <c r="D39" s="36" t="s">
        <v>109</v>
      </c>
      <c r="E39" s="36" t="s">
        <v>110</v>
      </c>
    </row>
    <row r="40" spans="1:7" x14ac:dyDescent="0.25">
      <c r="A40" t="s">
        <v>108</v>
      </c>
      <c r="C40" s="35">
        <v>1</v>
      </c>
      <c r="D40" s="36">
        <f>((B2*0.25)*C13)+((B2*0.75)*C14)</f>
        <v>4725</v>
      </c>
      <c r="E40" s="36">
        <f>D40*8</f>
        <v>37800</v>
      </c>
    </row>
    <row r="41" spans="1:7" x14ac:dyDescent="0.25">
      <c r="C41" s="35">
        <v>0.85</v>
      </c>
      <c r="D41" s="36">
        <f>D40*C41</f>
        <v>4016.25</v>
      </c>
      <c r="E41" s="36">
        <f>D41*8</f>
        <v>32130</v>
      </c>
    </row>
    <row r="42" spans="1:7" s="38" customFormat="1" x14ac:dyDescent="0.25">
      <c r="C42" s="39">
        <v>0.75</v>
      </c>
      <c r="D42" s="40">
        <f>D40*C42</f>
        <v>3543.75</v>
      </c>
      <c r="E42" s="40">
        <f>D42*8</f>
        <v>28350</v>
      </c>
      <c r="F42" s="40"/>
      <c r="G42" s="40"/>
    </row>
    <row r="43" spans="1:7" x14ac:dyDescent="0.25">
      <c r="C43" s="35">
        <v>0.65</v>
      </c>
      <c r="D43" s="36">
        <f>D40*C43</f>
        <v>3071.25</v>
      </c>
      <c r="E43" s="36">
        <f>D43*8</f>
        <v>24570</v>
      </c>
    </row>
    <row r="44" spans="1:7" x14ac:dyDescent="0.25">
      <c r="C44" s="35">
        <v>0.5</v>
      </c>
      <c r="D44" s="36">
        <f>D40*C44</f>
        <v>2362.5</v>
      </c>
      <c r="E44" s="36">
        <f>D44*8</f>
        <v>18900</v>
      </c>
    </row>
    <row r="47" spans="1:7" x14ac:dyDescent="0.25">
      <c r="A47" s="37" t="s">
        <v>113</v>
      </c>
      <c r="D47" s="36" t="s">
        <v>109</v>
      </c>
      <c r="E47" s="36" t="s">
        <v>110</v>
      </c>
    </row>
    <row r="48" spans="1:7" x14ac:dyDescent="0.25">
      <c r="A48" t="s">
        <v>108</v>
      </c>
      <c r="C48" s="35">
        <v>1</v>
      </c>
      <c r="D48" s="36">
        <f>C18*B2*C14</f>
        <v>5400</v>
      </c>
      <c r="E48" s="36">
        <f>D48*8</f>
        <v>43200</v>
      </c>
    </row>
    <row r="49" spans="3:5" x14ac:dyDescent="0.25">
      <c r="C49" s="35">
        <v>0.85</v>
      </c>
      <c r="D49" s="36">
        <f>C19*B2*C14</f>
        <v>4590</v>
      </c>
      <c r="E49" s="36">
        <f>D49*8</f>
        <v>36720</v>
      </c>
    </row>
    <row r="50" spans="3:5" x14ac:dyDescent="0.25">
      <c r="C50" s="35">
        <v>0.75</v>
      </c>
      <c r="D50" s="36">
        <f>C20*B2*C14</f>
        <v>4050</v>
      </c>
      <c r="E50" s="36">
        <f>D50*8</f>
        <v>32400</v>
      </c>
    </row>
    <row r="51" spans="3:5" x14ac:dyDescent="0.25">
      <c r="C51" s="35">
        <v>0.65</v>
      </c>
      <c r="D51" s="36">
        <f>C21*B2*C14</f>
        <v>3510</v>
      </c>
      <c r="E51" s="36">
        <f>D51*8</f>
        <v>28080</v>
      </c>
    </row>
    <row r="52" spans="3:5" x14ac:dyDescent="0.25">
      <c r="C52" s="35">
        <v>0.5</v>
      </c>
      <c r="D52" s="36">
        <f>C22*B2*C14</f>
        <v>2700</v>
      </c>
      <c r="E52" s="36">
        <f>D52*8</f>
        <v>21600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80" zoomScaleNormal="80" workbookViewId="0">
      <selection activeCell="C20" sqref="C20"/>
    </sheetView>
  </sheetViews>
  <sheetFormatPr defaultRowHeight="15.75" x14ac:dyDescent="0.25"/>
  <cols>
    <col min="1" max="1" width="44.25" style="41" customWidth="1"/>
    <col min="2" max="2" width="40.625" style="42" customWidth="1"/>
    <col min="3" max="3" width="25.375" style="45" customWidth="1"/>
    <col min="4" max="4" width="19.75" style="43" bestFit="1" customWidth="1"/>
    <col min="5" max="8" width="9" style="43"/>
    <col min="9" max="16384" width="9" style="41"/>
  </cols>
  <sheetData>
    <row r="1" spans="1:8" x14ac:dyDescent="0.25">
      <c r="A1" s="44" t="s">
        <v>131</v>
      </c>
    </row>
    <row r="3" spans="1:8" x14ac:dyDescent="0.25">
      <c r="A3" s="41" t="s">
        <v>154</v>
      </c>
      <c r="C3" s="45">
        <v>500000</v>
      </c>
    </row>
    <row r="4" spans="1:8" x14ac:dyDescent="0.25">
      <c r="A4" s="41" t="s">
        <v>155</v>
      </c>
      <c r="B4" s="42" t="s">
        <v>156</v>
      </c>
      <c r="C4" s="45">
        <v>50000</v>
      </c>
    </row>
    <row r="5" spans="1:8" x14ac:dyDescent="0.25">
      <c r="A5" s="41" t="s">
        <v>159</v>
      </c>
      <c r="C5" s="45">
        <v>450000</v>
      </c>
    </row>
    <row r="8" spans="1:8" s="44" customFormat="1" x14ac:dyDescent="0.25">
      <c r="A8" s="44" t="s">
        <v>130</v>
      </c>
      <c r="B8" s="42"/>
      <c r="C8" s="45"/>
      <c r="D8" s="43"/>
      <c r="E8" s="43"/>
      <c r="F8" s="43"/>
      <c r="G8" s="43"/>
      <c r="H8" s="43"/>
    </row>
    <row r="9" spans="1:8" s="50" customFormat="1" x14ac:dyDescent="0.25">
      <c r="A9" s="50" t="s">
        <v>157</v>
      </c>
      <c r="B9" s="51" t="s">
        <v>158</v>
      </c>
      <c r="C9" s="52">
        <v>0</v>
      </c>
    </row>
    <row r="10" spans="1:8" x14ac:dyDescent="0.25">
      <c r="A10" s="41" t="s">
        <v>117</v>
      </c>
      <c r="B10" s="42" t="s">
        <v>132</v>
      </c>
    </row>
    <row r="11" spans="1:8" x14ac:dyDescent="0.25">
      <c r="A11" s="41" t="s">
        <v>118</v>
      </c>
      <c r="B11" s="42" t="s">
        <v>133</v>
      </c>
      <c r="C11" s="45">
        <v>800</v>
      </c>
    </row>
    <row r="12" spans="1:8" x14ac:dyDescent="0.25">
      <c r="A12" s="41" t="s">
        <v>119</v>
      </c>
      <c r="B12" s="42" t="s">
        <v>134</v>
      </c>
    </row>
    <row r="13" spans="1:8" x14ac:dyDescent="0.25">
      <c r="A13" s="41" t="s">
        <v>8</v>
      </c>
      <c r="B13" s="42" t="s">
        <v>134</v>
      </c>
    </row>
    <row r="14" spans="1:8" x14ac:dyDescent="0.25">
      <c r="A14" s="41" t="s">
        <v>120</v>
      </c>
      <c r="B14" s="42" t="s">
        <v>134</v>
      </c>
    </row>
    <row r="15" spans="1:8" x14ac:dyDescent="0.25">
      <c r="A15" s="41" t="s">
        <v>121</v>
      </c>
      <c r="B15" s="42" t="s">
        <v>134</v>
      </c>
    </row>
    <row r="16" spans="1:8" ht="47.25" x14ac:dyDescent="0.25">
      <c r="A16" s="41" t="s">
        <v>122</v>
      </c>
      <c r="B16" s="42" t="s">
        <v>135</v>
      </c>
      <c r="C16" s="45">
        <v>5000</v>
      </c>
    </row>
    <row r="17" spans="1:4" x14ac:dyDescent="0.25">
      <c r="A17" s="41" t="s">
        <v>123</v>
      </c>
      <c r="B17" s="42" t="s">
        <v>136</v>
      </c>
      <c r="C17" s="45">
        <v>2000</v>
      </c>
      <c r="D17" s="43" t="s">
        <v>137</v>
      </c>
    </row>
    <row r="18" spans="1:4" ht="31.5" x14ac:dyDescent="0.25">
      <c r="A18" s="41" t="s">
        <v>124</v>
      </c>
      <c r="B18" s="42" t="s">
        <v>148</v>
      </c>
      <c r="C18" s="45">
        <v>25000</v>
      </c>
      <c r="D18" s="43" t="s">
        <v>141</v>
      </c>
    </row>
    <row r="19" spans="1:4" x14ac:dyDescent="0.25">
      <c r="A19" s="41" t="s">
        <v>125</v>
      </c>
      <c r="B19" s="42" t="s">
        <v>142</v>
      </c>
      <c r="C19" s="45">
        <v>11000</v>
      </c>
      <c r="D19" s="43" t="s">
        <v>143</v>
      </c>
    </row>
    <row r="20" spans="1:4" ht="63" x14ac:dyDescent="0.25">
      <c r="A20" s="41" t="s">
        <v>126</v>
      </c>
      <c r="B20" s="42" t="s">
        <v>144</v>
      </c>
      <c r="C20" s="45">
        <v>0</v>
      </c>
    </row>
    <row r="21" spans="1:4" x14ac:dyDescent="0.25">
      <c r="A21" s="41" t="s">
        <v>127</v>
      </c>
      <c r="B21" s="42" t="s">
        <v>145</v>
      </c>
      <c r="C21" s="45">
        <v>1500</v>
      </c>
    </row>
    <row r="22" spans="1:4" x14ac:dyDescent="0.25">
      <c r="A22" s="41" t="s">
        <v>128</v>
      </c>
      <c r="B22" s="42" t="s">
        <v>146</v>
      </c>
    </row>
    <row r="23" spans="1:4" x14ac:dyDescent="0.25">
      <c r="A23" s="41" t="s">
        <v>129</v>
      </c>
      <c r="B23" s="42" t="s">
        <v>147</v>
      </c>
      <c r="C23" s="45">
        <v>2000</v>
      </c>
    </row>
    <row r="24" spans="1:4" s="50" customFormat="1" ht="31.5" x14ac:dyDescent="0.25">
      <c r="A24" s="50" t="s">
        <v>149</v>
      </c>
      <c r="B24" s="51" t="s">
        <v>150</v>
      </c>
      <c r="C24" s="52"/>
      <c r="D24" s="50" t="s">
        <v>151</v>
      </c>
    </row>
    <row r="26" spans="1:4" s="44" customFormat="1" x14ac:dyDescent="0.25">
      <c r="B26" s="46" t="s">
        <v>153</v>
      </c>
      <c r="C26" s="47">
        <f>SUM(C9:C24)</f>
        <v>47300</v>
      </c>
    </row>
    <row r="27" spans="1:4" s="44" customFormat="1" x14ac:dyDescent="0.25">
      <c r="B27" s="46"/>
      <c r="C27" s="48"/>
    </row>
    <row r="28" spans="1:4" s="44" customFormat="1" x14ac:dyDescent="0.25">
      <c r="B28" s="46" t="s">
        <v>152</v>
      </c>
      <c r="C28" s="48">
        <f>C26*0.05</f>
        <v>2365</v>
      </c>
    </row>
    <row r="29" spans="1:4" s="44" customFormat="1" x14ac:dyDescent="0.25">
      <c r="B29" s="46"/>
      <c r="C29" s="48"/>
    </row>
    <row r="30" spans="1:4" s="44" customFormat="1" ht="16.5" thickBot="1" x14ac:dyDescent="0.3">
      <c r="B30" s="46" t="s">
        <v>101</v>
      </c>
      <c r="C30" s="49">
        <f>C26+C28</f>
        <v>49665</v>
      </c>
    </row>
    <row r="31" spans="1:4" ht="16.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13" sqref="D13"/>
    </sheetView>
  </sheetViews>
  <sheetFormatPr defaultRowHeight="15.75" x14ac:dyDescent="0.25"/>
  <cols>
    <col min="1" max="1" width="21.375" customWidth="1"/>
    <col min="4" max="4" width="14.625" style="54" customWidth="1"/>
    <col min="5" max="6" width="12.125" bestFit="1" customWidth="1"/>
  </cols>
  <sheetData>
    <row r="1" spans="1:5" s="37" customFormat="1" x14ac:dyDescent="0.25">
      <c r="A1" s="37" t="s">
        <v>171</v>
      </c>
      <c r="D1" s="53"/>
    </row>
    <row r="3" spans="1:5" x14ac:dyDescent="0.25">
      <c r="A3" t="s">
        <v>195</v>
      </c>
      <c r="D3" s="54">
        <v>50000</v>
      </c>
    </row>
    <row r="4" spans="1:5" x14ac:dyDescent="0.25">
      <c r="A4" t="s">
        <v>196</v>
      </c>
      <c r="D4" s="54">
        <v>450000</v>
      </c>
    </row>
    <row r="5" spans="1:5" x14ac:dyDescent="0.25">
      <c r="A5" t="s">
        <v>128</v>
      </c>
      <c r="D5" s="54">
        <f>4*33000</f>
        <v>132000</v>
      </c>
    </row>
    <row r="6" spans="1:5" x14ac:dyDescent="0.25">
      <c r="E6" s="54">
        <f>SUM(D3:D5)</f>
        <v>632000</v>
      </c>
    </row>
    <row r="8" spans="1:5" x14ac:dyDescent="0.25">
      <c r="A8" t="s">
        <v>197</v>
      </c>
    </row>
    <row r="9" spans="1:5" x14ac:dyDescent="0.25">
      <c r="D9" s="54">
        <f>4.5*25000</f>
        <v>112500</v>
      </c>
    </row>
    <row r="11" spans="1:5" x14ac:dyDescent="0.25">
      <c r="A11" t="s">
        <v>198</v>
      </c>
      <c r="D11" s="54">
        <f>40*'Ticket projections'!D34</f>
        <v>121500</v>
      </c>
    </row>
    <row r="12" spans="1:5" x14ac:dyDescent="0.25">
      <c r="A12" t="s">
        <v>199</v>
      </c>
      <c r="D12" s="54">
        <f>35*'Ticket projections'!E14</f>
        <v>0</v>
      </c>
    </row>
    <row r="21" spans="1:6" x14ac:dyDescent="0.25">
      <c r="A21" t="s">
        <v>172</v>
      </c>
    </row>
    <row r="22" spans="1:6" x14ac:dyDescent="0.25">
      <c r="A22" t="s">
        <v>173</v>
      </c>
    </row>
    <row r="23" spans="1:6" x14ac:dyDescent="0.25">
      <c r="A23" t="s">
        <v>174</v>
      </c>
    </row>
    <row r="25" spans="1:6" x14ac:dyDescent="0.25">
      <c r="A25" t="s">
        <v>175</v>
      </c>
    </row>
    <row r="26" spans="1:6" x14ac:dyDescent="0.25">
      <c r="A26" t="s">
        <v>176</v>
      </c>
    </row>
    <row r="28" spans="1:6" x14ac:dyDescent="0.25">
      <c r="A28" t="s">
        <v>155</v>
      </c>
      <c r="D28" s="54">
        <v>50000</v>
      </c>
    </row>
    <row r="30" spans="1:6" x14ac:dyDescent="0.25">
      <c r="A30" t="s">
        <v>128</v>
      </c>
      <c r="B30" t="s">
        <v>192</v>
      </c>
      <c r="D30" s="54">
        <f>4*33000</f>
        <v>132000</v>
      </c>
    </row>
    <row r="31" spans="1:6" x14ac:dyDescent="0.25">
      <c r="A31" t="s">
        <v>177</v>
      </c>
      <c r="B31" t="s">
        <v>193</v>
      </c>
      <c r="D31" s="54">
        <f>4*24000</f>
        <v>96000</v>
      </c>
      <c r="F31" s="54">
        <f>D31+D32</f>
        <v>111000</v>
      </c>
    </row>
    <row r="32" spans="1:6" x14ac:dyDescent="0.25">
      <c r="B32" t="s">
        <v>194</v>
      </c>
      <c r="D32" s="54">
        <v>15000</v>
      </c>
      <c r="F32" s="54">
        <f>F31-132000</f>
        <v>-21000</v>
      </c>
    </row>
    <row r="33" spans="1:6" x14ac:dyDescent="0.25">
      <c r="B33" t="s">
        <v>178</v>
      </c>
      <c r="D33" s="54">
        <f>D28+D30-D31</f>
        <v>86000</v>
      </c>
      <c r="F33" s="54"/>
    </row>
    <row r="35" spans="1:6" x14ac:dyDescent="0.25">
      <c r="A35" t="s">
        <v>179</v>
      </c>
      <c r="D35" s="54">
        <v>500000</v>
      </c>
    </row>
    <row r="37" spans="1:6" x14ac:dyDescent="0.25">
      <c r="A37" t="s">
        <v>180</v>
      </c>
      <c r="D37" s="54">
        <f>D35-D33</f>
        <v>414000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D152368-EABF-477A-835C-D8E18838C132}"/>
</file>

<file path=customXml/itemProps2.xml><?xml version="1.0" encoding="utf-8"?>
<ds:datastoreItem xmlns:ds="http://schemas.openxmlformats.org/officeDocument/2006/customXml" ds:itemID="{C0FF4A49-D80A-4663-8479-1BA36EFE8DBE}"/>
</file>

<file path=customXml/itemProps3.xml><?xml version="1.0" encoding="utf-8"?>
<ds:datastoreItem xmlns:ds="http://schemas.openxmlformats.org/officeDocument/2006/customXml" ds:itemID="{5EB07EEF-E2BE-4451-972B-268FB443A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HULL</vt:lpstr>
      <vt:lpstr>Ticket projections</vt:lpstr>
      <vt:lpstr>2017 costs</vt:lpstr>
      <vt:lpstr>Summary</vt:lpstr>
      <vt:lpstr>HULL!Print_Area</vt:lpstr>
    </vt:vector>
  </TitlesOfParts>
  <Company>dreamthinkspeak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</cp:lastModifiedBy>
  <cp:lastPrinted>2016-02-24T10:07:13Z</cp:lastPrinted>
  <dcterms:created xsi:type="dcterms:W3CDTF">2013-04-21T01:21:14Z</dcterms:created>
  <dcterms:modified xsi:type="dcterms:W3CDTF">2016-06-14T08:52:19Z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