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14685" windowHeight="81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6" i="1" l="1"/>
  <c r="C175" i="1"/>
  <c r="C170" i="1"/>
  <c r="C159" i="1"/>
  <c r="C166" i="1"/>
  <c r="F24" i="1" l="1"/>
  <c r="L282" i="1"/>
  <c r="L281" i="1"/>
  <c r="L358" i="1"/>
  <c r="L343" i="1"/>
  <c r="C149" i="1"/>
  <c r="I134" i="1"/>
  <c r="H134" i="1"/>
  <c r="K134" i="1" s="1"/>
  <c r="D134" i="1"/>
  <c r="G134" i="1" s="1"/>
  <c r="L205" i="1"/>
  <c r="F5" i="1"/>
  <c r="L36" i="1" s="1"/>
  <c r="E113" i="1"/>
  <c r="I105" i="1"/>
  <c r="I106" i="1"/>
  <c r="F134" i="1" l="1"/>
  <c r="L134" i="1" s="1"/>
  <c r="J134" i="1"/>
  <c r="L225" i="1" l="1"/>
  <c r="L344" i="1"/>
  <c r="L231" i="1"/>
  <c r="L200" i="1"/>
  <c r="L279" i="1" l="1"/>
  <c r="L280" i="1"/>
  <c r="L236" i="1"/>
  <c r="L181" i="1"/>
  <c r="C167" i="1" l="1"/>
  <c r="D170" i="1"/>
  <c r="L196" i="1" l="1"/>
  <c r="L379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1" i="1"/>
  <c r="L172" i="1"/>
  <c r="F166" i="1"/>
  <c r="I173" i="1"/>
  <c r="D173" i="1"/>
  <c r="J167" i="1"/>
  <c r="I164" i="1"/>
  <c r="D164" i="1"/>
  <c r="I137" i="1"/>
  <c r="D137" i="1"/>
  <c r="H176" i="1"/>
  <c r="J176" i="1" s="1"/>
  <c r="H175" i="1"/>
  <c r="H170" i="1"/>
  <c r="K170" i="1" s="1"/>
  <c r="H167" i="1"/>
  <c r="H166" i="1"/>
  <c r="J166" i="1" s="1"/>
  <c r="H161" i="1"/>
  <c r="H160" i="1"/>
  <c r="H159" i="1"/>
  <c r="K159" i="1" s="1"/>
  <c r="F170" i="1"/>
  <c r="D161" i="1"/>
  <c r="D160" i="1"/>
  <c r="D159" i="1"/>
  <c r="G159" i="1" s="1"/>
  <c r="I146" i="1"/>
  <c r="I145" i="1"/>
  <c r="H146" i="1"/>
  <c r="H145" i="1"/>
  <c r="J145" i="1" s="1"/>
  <c r="K143" i="1"/>
  <c r="H142" i="1"/>
  <c r="K142" i="1" s="1"/>
  <c r="K141" i="1"/>
  <c r="H140" i="1"/>
  <c r="K140" i="1" s="1"/>
  <c r="K139" i="1"/>
  <c r="H133" i="1"/>
  <c r="K133" i="1" s="1"/>
  <c r="H132" i="1"/>
  <c r="K132" i="1" s="1"/>
  <c r="H131" i="1"/>
  <c r="K131" i="1" s="1"/>
  <c r="I120" i="1"/>
  <c r="G120" i="1"/>
  <c r="F146" i="1"/>
  <c r="F145" i="1"/>
  <c r="D143" i="1"/>
  <c r="G143" i="1" s="1"/>
  <c r="G142" i="1"/>
  <c r="G141" i="1"/>
  <c r="G140" i="1"/>
  <c r="G139" i="1"/>
  <c r="D133" i="1"/>
  <c r="G133" i="1" s="1"/>
  <c r="D132" i="1"/>
  <c r="G132" i="1" s="1"/>
  <c r="D131" i="1"/>
  <c r="G131" i="1" s="1"/>
  <c r="K149" i="1"/>
  <c r="G170" i="1" l="1"/>
  <c r="F173" i="1"/>
  <c r="G149" i="1"/>
  <c r="L149" i="1" s="1"/>
  <c r="F171" i="1"/>
  <c r="J170" i="1"/>
  <c r="F174" i="1"/>
  <c r="L166" i="1"/>
  <c r="L145" i="1"/>
  <c r="J146" i="1"/>
  <c r="L146" i="1" s="1"/>
  <c r="L405" i="1"/>
  <c r="L402" i="1"/>
  <c r="L388" i="1"/>
  <c r="L331" i="1"/>
  <c r="L321" i="1"/>
  <c r="L318" i="1"/>
  <c r="L315" i="1"/>
  <c r="L312" i="1"/>
  <c r="L309" i="1"/>
  <c r="L306" i="1"/>
  <c r="L303" i="1"/>
  <c r="L293" i="1"/>
  <c r="L290" i="1"/>
  <c r="L276" i="1"/>
  <c r="L273" i="1"/>
  <c r="L270" i="1"/>
  <c r="L267" i="1"/>
  <c r="L264" i="1"/>
  <c r="L261" i="1"/>
  <c r="L258" i="1"/>
  <c r="L246" i="1"/>
  <c r="L243" i="1"/>
  <c r="L240" i="1"/>
  <c r="F159" i="1"/>
  <c r="J160" i="1"/>
  <c r="J161" i="1"/>
  <c r="I159" i="1"/>
  <c r="J159" i="1" s="1"/>
  <c r="G160" i="1"/>
  <c r="G161" i="1"/>
  <c r="F161" i="1"/>
  <c r="F160" i="1"/>
  <c r="F167" i="1"/>
  <c r="L167" i="1" s="1"/>
  <c r="F175" i="1"/>
  <c r="F176" i="1"/>
  <c r="L176" i="1" s="1"/>
  <c r="I131" i="1"/>
  <c r="J131" i="1" s="1"/>
  <c r="J126" i="1"/>
  <c r="H126" i="1"/>
  <c r="L123" i="1"/>
  <c r="E120" i="1"/>
  <c r="L120" i="1" s="1"/>
  <c r="L100" i="1"/>
  <c r="L93" i="1"/>
  <c r="L90" i="1"/>
  <c r="L87" i="1"/>
  <c r="L84" i="1"/>
  <c r="L81" i="1"/>
  <c r="L78" i="1"/>
  <c r="L70" i="1"/>
  <c r="L67" i="1"/>
  <c r="L64" i="1"/>
  <c r="L61" i="1"/>
  <c r="L58" i="1"/>
  <c r="L55" i="1"/>
  <c r="L52" i="1"/>
  <c r="L49" i="1"/>
  <c r="L46" i="1"/>
  <c r="L43" i="1"/>
  <c r="L40" i="1"/>
  <c r="L37" i="1"/>
  <c r="L34" i="1"/>
  <c r="L31" i="1"/>
  <c r="L170" i="1" l="1"/>
  <c r="L159" i="1"/>
  <c r="L407" i="1"/>
  <c r="F21" i="1" s="1"/>
  <c r="J165" i="1"/>
  <c r="J162" i="1"/>
  <c r="J164" i="1"/>
  <c r="J173" i="1"/>
  <c r="J174" i="1"/>
  <c r="J171" i="1"/>
  <c r="L171" i="1" s="1"/>
  <c r="F177" i="1"/>
  <c r="L72" i="1"/>
  <c r="F8" i="1" s="1"/>
  <c r="F165" i="1"/>
  <c r="F164" i="1"/>
  <c r="F162" i="1"/>
  <c r="L295" i="1"/>
  <c r="F15" i="1" s="1"/>
  <c r="L126" i="1"/>
  <c r="F131" i="1"/>
  <c r="L131" i="1" s="1"/>
  <c r="L95" i="1"/>
  <c r="F9" i="1" s="1"/>
  <c r="L162" i="1" l="1"/>
  <c r="L164" i="1"/>
  <c r="L165" i="1"/>
  <c r="L163" i="1"/>
  <c r="F168" i="1"/>
  <c r="F178" i="1" s="1"/>
  <c r="L148" i="1"/>
  <c r="I132" i="1"/>
  <c r="I133" i="1"/>
  <c r="I139" i="1"/>
  <c r="I140" i="1"/>
  <c r="I141" i="1"/>
  <c r="I142" i="1"/>
  <c r="I143" i="1"/>
  <c r="I144" i="1"/>
  <c r="I148" i="1"/>
  <c r="F148" i="1"/>
  <c r="G144" i="1"/>
  <c r="F143" i="1"/>
  <c r="F141" i="1"/>
  <c r="F139" i="1"/>
  <c r="F133" i="1"/>
  <c r="J144" i="1" l="1"/>
  <c r="J132" i="1"/>
  <c r="J142" i="1"/>
  <c r="F132" i="1"/>
  <c r="G151" i="1"/>
  <c r="J139" i="1"/>
  <c r="L139" i="1" s="1"/>
  <c r="J133" i="1"/>
  <c r="L133" i="1" s="1"/>
  <c r="J140" i="1"/>
  <c r="J148" i="1"/>
  <c r="F144" i="1"/>
  <c r="J143" i="1"/>
  <c r="L143" i="1" s="1"/>
  <c r="K144" i="1"/>
  <c r="L144" i="1" s="1"/>
  <c r="F140" i="1"/>
  <c r="F147" i="1" s="1"/>
  <c r="J141" i="1"/>
  <c r="L141" i="1" s="1"/>
  <c r="F142" i="1"/>
  <c r="L140" i="1" l="1"/>
  <c r="F138" i="1"/>
  <c r="F137" i="1"/>
  <c r="J137" i="1"/>
  <c r="J138" i="1"/>
  <c r="L132" i="1"/>
  <c r="F135" i="1"/>
  <c r="J135" i="1"/>
  <c r="J147" i="1"/>
  <c r="L142" i="1"/>
  <c r="K151" i="1"/>
  <c r="J151" i="1" l="1"/>
  <c r="L135" i="1"/>
  <c r="F151" i="1"/>
  <c r="L138" i="1"/>
  <c r="L147" i="1"/>
  <c r="L137" i="1"/>
  <c r="L394" i="1"/>
  <c r="L391" i="1"/>
  <c r="L382" i="1"/>
  <c r="L375" i="1"/>
  <c r="L372" i="1"/>
  <c r="L369" i="1"/>
  <c r="L362" i="1"/>
  <c r="L359" i="1"/>
  <c r="L356" i="1"/>
  <c r="L353" i="1"/>
  <c r="L350" i="1"/>
  <c r="L341" i="1"/>
  <c r="L334" i="1"/>
  <c r="L328" i="1"/>
  <c r="L338" i="1"/>
  <c r="L300" i="1"/>
  <c r="L323" i="1" s="1"/>
  <c r="F16" i="1" s="1"/>
  <c r="L283" i="1"/>
  <c r="L203" i="1"/>
  <c r="L346" i="1" l="1"/>
  <c r="F17" i="1" s="1"/>
  <c r="M151" i="1"/>
  <c r="L384" i="1"/>
  <c r="F19" i="1" s="1"/>
  <c r="L151" i="1"/>
  <c r="L396" i="1"/>
  <c r="F20" i="1" s="1"/>
  <c r="L364" i="1"/>
  <c r="F18" i="1" s="1"/>
  <c r="F12" i="1"/>
  <c r="L153" i="1" l="1"/>
  <c r="L255" i="1"/>
  <c r="L285" i="1" s="1"/>
  <c r="F14" i="1" s="1"/>
  <c r="L237" i="1"/>
  <c r="L226" i="1"/>
  <c r="L221" i="1"/>
  <c r="L216" i="1"/>
  <c r="F10" i="1" l="1"/>
  <c r="L248" i="1"/>
  <c r="F13" i="1" s="1"/>
  <c r="J175" i="1"/>
  <c r="K161" i="1"/>
  <c r="K160" i="1"/>
  <c r="L175" i="1" l="1"/>
  <c r="J177" i="1"/>
  <c r="L173" i="1"/>
  <c r="L174" i="1"/>
  <c r="L161" i="1"/>
  <c r="L168" i="1" s="1"/>
  <c r="K168" i="1"/>
  <c r="G177" i="1"/>
  <c r="K177" i="1"/>
  <c r="J168" i="1"/>
  <c r="K178" i="1" l="1"/>
  <c r="J178" i="1"/>
  <c r="L177" i="1"/>
  <c r="G168" i="1"/>
  <c r="G178" i="1" s="1"/>
  <c r="L186" i="1" l="1"/>
  <c r="F11" i="1" s="1"/>
  <c r="F22" i="1" s="1"/>
  <c r="F26" i="1" s="1"/>
  <c r="L178" i="1"/>
  <c r="L410" i="1" l="1"/>
  <c r="L412" i="1" s="1"/>
</calcChain>
</file>

<file path=xl/comments1.xml><?xml version="1.0" encoding="utf-8"?>
<comments xmlns="http://schemas.openxmlformats.org/spreadsheetml/2006/main">
  <authors>
    <author>Alvisl</author>
  </authors>
  <commentList>
    <comment ref="D158" author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<sst xmlns="http://schemas.openxmlformats.org/spreadsheetml/2006/main" count="402" uniqueCount="303">
  <si>
    <t>Rehearsals</t>
  </si>
  <si>
    <t>Running</t>
  </si>
  <si>
    <t>Number Artists</t>
  </si>
  <si>
    <t>Number Weeks</t>
  </si>
  <si>
    <t>Weeks</t>
  </si>
  <si>
    <t>Actors</t>
  </si>
  <si>
    <t>Understudies</t>
  </si>
  <si>
    <t>Dance Captain</t>
  </si>
  <si>
    <t>Company Overtime</t>
  </si>
  <si>
    <t>Company Holiday Pay</t>
  </si>
  <si>
    <t>Company NI</t>
  </si>
  <si>
    <t>Company Medical Costs</t>
  </si>
  <si>
    <t>Company Travel/Misc</t>
  </si>
  <si>
    <t>Musicians</t>
  </si>
  <si>
    <t>Musicians Overtime</t>
  </si>
  <si>
    <t>Musicians Holiday Pay</t>
  </si>
  <si>
    <t>Musicians NI</t>
  </si>
  <si>
    <t>Musicians Travel</t>
  </si>
  <si>
    <t>Musicians Porterage</t>
  </si>
  <si>
    <t>Total Musicians Costs</t>
  </si>
  <si>
    <t>Stage Manager</t>
  </si>
  <si>
    <t>Stage Management Overtime</t>
  </si>
  <si>
    <t>Stage Management NI</t>
  </si>
  <si>
    <t>Sound Production</t>
  </si>
  <si>
    <t>Sound No 1</t>
  </si>
  <si>
    <t>Producer Costs</t>
  </si>
  <si>
    <t xml:space="preserve">Sub code </t>
  </si>
  <si>
    <t>Details</t>
  </si>
  <si>
    <t xml:space="preserve">TOTAL </t>
  </si>
  <si>
    <t xml:space="preserve">Total Run </t>
  </si>
  <si>
    <t xml:space="preserve">Lead Creatives </t>
  </si>
  <si>
    <t xml:space="preserve">Consultant Costs </t>
  </si>
  <si>
    <t xml:space="preserve">Casting Director </t>
  </si>
  <si>
    <t xml:space="preserve">Director </t>
  </si>
  <si>
    <t xml:space="preserve">Fight Director </t>
  </si>
  <si>
    <t xml:space="preserve">Lighting Designer </t>
  </si>
  <si>
    <t xml:space="preserve">Sound Designer </t>
  </si>
  <si>
    <t xml:space="preserve">Voice </t>
  </si>
  <si>
    <t>Fee</t>
  </si>
  <si>
    <t xml:space="preserve">Actual </t>
  </si>
  <si>
    <t xml:space="preserve">Travel </t>
  </si>
  <si>
    <t xml:space="preserve">Expenses </t>
  </si>
  <si>
    <t>Sub code</t>
  </si>
  <si>
    <t xml:space="preserve">ZK103 - CREATIVE TEAM, PRODUCTION TEAM &amp; CONSULTANTS </t>
  </si>
  <si>
    <t xml:space="preserve">ZK104 - PERFORMERS AND MUSICIANS </t>
  </si>
  <si>
    <t xml:space="preserve">TSM Materials </t>
  </si>
  <si>
    <t xml:space="preserve">Fit-Up </t>
  </si>
  <si>
    <t xml:space="preserve">Get-Out </t>
  </si>
  <si>
    <t xml:space="preserve">to cover weekly changeovers 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</si>
  <si>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</si>
  <si>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</si>
  <si>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</si>
  <si>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</si>
  <si>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 xml:space="preserve">Materials </t>
  </si>
  <si>
    <t xml:space="preserve">Props - running &amp; hires </t>
  </si>
  <si>
    <t xml:space="preserve">Build materials </t>
  </si>
  <si>
    <t xml:space="preserve">Build Materials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</si>
  <si>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</si>
  <si>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</si>
  <si>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</si>
  <si>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</si>
  <si>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Production </t>
  </si>
  <si>
    <t>Venue</t>
  </si>
  <si>
    <t xml:space="preserve">Artform </t>
  </si>
  <si>
    <t>Site Specific</t>
  </si>
  <si>
    <t xml:space="preserve">ZK101 - COMMISSIONING &amp; FEES </t>
  </si>
  <si>
    <t xml:space="preserve">ZK102 - DEVELOPMENT &amp; R&amp;D </t>
  </si>
  <si>
    <t xml:space="preserve">ZK107 - VENUE &amp; LOGISTICS </t>
  </si>
  <si>
    <t xml:space="preserve">Audition costs </t>
  </si>
  <si>
    <t xml:space="preserve">Rehearsal venue </t>
  </si>
  <si>
    <t>Venue fees</t>
  </si>
  <si>
    <t xml:space="preserve">Venue costs 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</si>
  <si>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</si>
  <si>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</si>
  <si>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</si>
  <si>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</si>
  <si>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</si>
  <si>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</si>
  <si>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 xml:space="preserve">Plant Hire </t>
  </si>
  <si>
    <t xml:space="preserve">ZK105 - REHEARSAL COSTS </t>
  </si>
  <si>
    <t xml:space="preserve">ZK106 - TECHNICAL &amp; PRODUCTION </t>
  </si>
  <si>
    <t xml:space="preserve">TOTAL CREATIVE TEAM, PRODUCTION &amp; CONSULTANTS </t>
  </si>
  <si>
    <t>ZK108 - PROGRAMME LEGAL &amp; DOCUMENTATION</t>
  </si>
  <si>
    <t>ZK109 - PROGRAMME MARKETING, DIGITAL &amp; COMMS</t>
  </si>
  <si>
    <t>ZK114 - ADMIN &amp; MISC</t>
  </si>
  <si>
    <t xml:space="preserve">ZK113 - RUNNING COSTS </t>
  </si>
  <si>
    <t xml:space="preserve">ZK112 - ARTIST &amp; GUEST LIAISON </t>
  </si>
  <si>
    <t xml:space="preserve">ZK111 - PROGRAMME VOLUNTEERING </t>
  </si>
  <si>
    <t xml:space="preserve">ZK110 - PROGRAMME EDUCATION &amp; COMMUNITY ENGAGEMENT </t>
  </si>
  <si>
    <t xml:space="preserve">SUB TOTAL </t>
  </si>
  <si>
    <t>SUB TOTAL</t>
  </si>
  <si>
    <t xml:space="preserve">TOTAL VENUE &amp; LOGISTICS </t>
  </si>
  <si>
    <t xml:space="preserve">TOTAL COSTS OF THE PRODUCTION </t>
  </si>
  <si>
    <t>Rehearsal set-up costs</t>
  </si>
  <si>
    <t xml:space="preserve">Scripts &amp; Photocopying </t>
  </si>
  <si>
    <t xml:space="preserve">Rehearsal running costs </t>
  </si>
  <si>
    <t xml:space="preserve">Rehearsal costs </t>
  </si>
  <si>
    <t xml:space="preserve">Volunteer Cast Costs </t>
  </si>
  <si>
    <t xml:space="preserve">TOTAL REHEARSAL COSTS </t>
  </si>
  <si>
    <t xml:space="preserve">Site Prep &amp; Security </t>
  </si>
  <si>
    <t xml:space="preserve">Legal </t>
  </si>
  <si>
    <t xml:space="preserve">Documentation 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</si>
  <si>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</si>
  <si>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</si>
  <si>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</si>
  <si>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</si>
  <si>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</si>
  <si>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 xml:space="preserve">Filming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</si>
  <si>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</si>
  <si>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</si>
  <si>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</si>
  <si>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</si>
  <si>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</si>
  <si>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</si>
  <si>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</si>
  <si>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</si>
  <si>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</si>
  <si>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</si>
  <si>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</si>
  <si>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</si>
  <si>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 xml:space="preserve">TOTAL PROGRAMME, EDUCATION &amp; COMMUNITY </t>
  </si>
  <si>
    <t xml:space="preserve">PPE </t>
  </si>
  <si>
    <t xml:space="preserve">External Training </t>
  </si>
  <si>
    <t xml:space="preserve">Volunteer Co-ordinator </t>
  </si>
  <si>
    <t>DBS Checks</t>
  </si>
  <si>
    <t xml:space="preserve">TOTAL PROGRAMME VOLUNTEERING </t>
  </si>
  <si>
    <t xml:space="preserve">Accreditation </t>
  </si>
  <si>
    <t xml:space="preserve">HLT Costs </t>
  </si>
  <si>
    <t xml:space="preserve">VIP Guests </t>
  </si>
  <si>
    <t xml:space="preserve">Catering </t>
  </si>
  <si>
    <t xml:space="preserve">Media Guests </t>
  </si>
  <si>
    <t xml:space="preserve">TOTAL ARTIST &amp; GUEST LIAISON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</si>
  <si>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</si>
  <si>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</si>
  <si>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</si>
  <si>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</si>
  <si>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 xml:space="preserve">Admin Costs </t>
  </si>
  <si>
    <t xml:space="preserve">Equipment &amp; Tools </t>
  </si>
  <si>
    <t>TOTAL ADMIN &amp; MISC</t>
  </si>
  <si>
    <t>Assistant Creatives</t>
  </si>
  <si>
    <t>Creative Team Expenses</t>
  </si>
  <si>
    <t>Production Team Expenses</t>
  </si>
  <si>
    <t xml:space="preserve">Production Manager </t>
  </si>
  <si>
    <t>Deputy Stage Manager</t>
  </si>
  <si>
    <t>Assistant Stage Manager</t>
  </si>
  <si>
    <t>Stage Management Holiday</t>
  </si>
  <si>
    <t xml:space="preserve">Wigs Supervisor </t>
  </si>
  <si>
    <t>Tech Staff Overtime</t>
  </si>
  <si>
    <t>Tech Staff NI</t>
  </si>
  <si>
    <t xml:space="preserve">Running Weeks </t>
  </si>
  <si>
    <t xml:space="preserve">Subs </t>
  </si>
  <si>
    <t xml:space="preserve"> Weekly Salary</t>
  </si>
  <si>
    <t>Total Salary</t>
  </si>
  <si>
    <t xml:space="preserve">Weekly Salary </t>
  </si>
  <si>
    <t xml:space="preserve">Total salary 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</si>
  <si>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</si>
  <si>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</si>
  <si>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</si>
  <si>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</si>
  <si>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</si>
  <si>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</si>
  <si>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</si>
  <si>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</si>
  <si>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</si>
  <si>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</si>
  <si>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</si>
  <si>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</si>
  <si>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</si>
  <si>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</si>
  <si>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</si>
  <si>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>R&amp;D Fees</t>
  </si>
  <si>
    <t xml:space="preserve">R&amp;D Travel </t>
  </si>
  <si>
    <t>R&amp;D Professional Fees</t>
  </si>
  <si>
    <t xml:space="preserve">R&amp;D Hotels &amp; accommodation </t>
  </si>
  <si>
    <t xml:space="preserve">R&amp;D meeting &amp; workshop costs </t>
  </si>
  <si>
    <t xml:space="preserve">Subsistence </t>
  </si>
  <si>
    <t xml:space="preserve">TOTAL DEVELOPMENT &amp; R&amp;D </t>
  </si>
  <si>
    <t>Performer Fees</t>
  </si>
  <si>
    <t>Performer Expenses</t>
  </si>
  <si>
    <t xml:space="preserve">TOTAL PERFORMERS &amp; MUSICIANS </t>
  </si>
  <si>
    <t xml:space="preserve">Total Salary </t>
  </si>
  <si>
    <t>Weekly Salary</t>
  </si>
  <si>
    <t xml:space="preserve"> </t>
  </si>
  <si>
    <t xml:space="preserve">TOTAL TECHNICAL &amp; PRODUCTION </t>
  </si>
  <si>
    <t xml:space="preserve">TOTAL PROGRAMME LEGAL &amp; DOCUMENTATION </t>
  </si>
  <si>
    <t xml:space="preserve">NI not applicable </t>
  </si>
  <si>
    <t>Reh weeks  (inc Tech)</t>
  </si>
  <si>
    <t>Names</t>
  </si>
  <si>
    <t>Production Team Travel</t>
  </si>
  <si>
    <t>FOH Fireman / First Aid</t>
  </si>
  <si>
    <t xml:space="preserve">FOH Attendants / Security </t>
  </si>
  <si>
    <t>per running week</t>
  </si>
  <si>
    <t>tech week plus per running week</t>
  </si>
  <si>
    <t xml:space="preserve">Audio &amp; Comms </t>
  </si>
  <si>
    <t>Technical Stage</t>
  </si>
  <si>
    <t>Venue Preparation</t>
  </si>
  <si>
    <t xml:space="preserve">Subs &amp; Travel </t>
  </si>
  <si>
    <t>TOTALS</t>
  </si>
  <si>
    <t>Subsistence</t>
  </si>
  <si>
    <t>Number of Production</t>
  </si>
  <si>
    <t xml:space="preserve">Production Team </t>
  </si>
  <si>
    <t>Stage Management Pensions</t>
  </si>
  <si>
    <t>Company Pensions</t>
  </si>
  <si>
    <t>Musicians Pensions</t>
  </si>
  <si>
    <t>Totals Company Costs</t>
  </si>
  <si>
    <t>£50 per perf</t>
  </si>
  <si>
    <t>Lighting &amp; AV</t>
  </si>
  <si>
    <t>Insurance</t>
  </si>
  <si>
    <t>SUMMARY</t>
  </si>
  <si>
    <t>DEPARTMENT</t>
  </si>
  <si>
    <t>TOTAL</t>
  </si>
  <si>
    <t>dressing rooms, box office, company office, wifi etc</t>
  </si>
  <si>
    <t>LX &amp; AV running &amp; hires</t>
  </si>
  <si>
    <t>Press Night</t>
  </si>
  <si>
    <t>Green Room Facilities</t>
  </si>
  <si>
    <t>Music Copying &amp; Orchestration costs</t>
  </si>
  <si>
    <t>Royalty of Net Box Office</t>
  </si>
  <si>
    <t xml:space="preserve">No of Perfs </t>
  </si>
  <si>
    <t>Full Band for 2 wks reh plus tech</t>
  </si>
  <si>
    <t xml:space="preserve">Net Box Office </t>
  </si>
  <si>
    <t>Hull 2017 Budget</t>
  </si>
  <si>
    <t>Balance</t>
  </si>
  <si>
    <t>Set &amp; Props</t>
  </si>
  <si>
    <t>6 @ £50 per perf</t>
  </si>
  <si>
    <t>inc image generation</t>
  </si>
  <si>
    <t>av net per perf</t>
  </si>
  <si>
    <t xml:space="preserve">Costume Supervisor </t>
  </si>
  <si>
    <t xml:space="preserve">Wardrobe Maintenance / Dresser </t>
  </si>
  <si>
    <t xml:space="preserve">Including Sunday payments </t>
  </si>
  <si>
    <t xml:space="preserve">Performers Salaries </t>
  </si>
  <si>
    <t xml:space="preserve">Includes running physical </t>
  </si>
  <si>
    <t>Inclusive instrument hire</t>
  </si>
  <si>
    <t xml:space="preserve">Crew / Instrument tech </t>
  </si>
  <si>
    <t xml:space="preserve">Instrument maintenance </t>
  </si>
  <si>
    <t xml:space="preserve">Ballad of Big Lil </t>
  </si>
  <si>
    <t xml:space="preserve">TBC </t>
  </si>
  <si>
    <t xml:space="preserve">Assumes HD &amp; LA travel. All other costs in kind from MRE </t>
  </si>
  <si>
    <t>MP</t>
  </si>
  <si>
    <t xml:space="preserve">Writer </t>
  </si>
  <si>
    <t xml:space="preserve">Composer </t>
  </si>
  <si>
    <t>AM</t>
  </si>
  <si>
    <t>SF</t>
  </si>
  <si>
    <t xml:space="preserve">Assistant Director Community </t>
  </si>
  <si>
    <t>Costume Supervisor</t>
  </si>
  <si>
    <t xml:space="preserve">Artistic Consultant </t>
  </si>
  <si>
    <t>RC</t>
  </si>
  <si>
    <t>Dramaturg</t>
  </si>
  <si>
    <t>Prehearsal Pianist</t>
  </si>
  <si>
    <t xml:space="preserve">Left this as 3 weeks rather than 5 in original budget </t>
  </si>
  <si>
    <t xml:space="preserve">LX Production </t>
  </si>
  <si>
    <t xml:space="preserve">LX &amp; Operator </t>
  </si>
  <si>
    <t xml:space="preserve">7 show week </t>
  </si>
  <si>
    <t xml:space="preserve">Venue insurance for found space &amp; all kit, instruments etc </t>
  </si>
  <si>
    <t>Community Cast</t>
  </si>
  <si>
    <t xml:space="preserve">Original budget </t>
  </si>
  <si>
    <t xml:space="preserve">Notes </t>
  </si>
  <si>
    <t xml:space="preserve">LA inserted expenses &amp; travel </t>
  </si>
  <si>
    <t xml:space="preserve">Set &amp; Costume  Designer </t>
  </si>
  <si>
    <t xml:space="preserve">LA Increased from £700 to £3k. </t>
  </si>
  <si>
    <t xml:space="preserve">LA inserted incase not all Hull actors. </t>
  </si>
  <si>
    <t>LA seems high so reduced from £5k to £4k. Scotland based so expensive T&amp;A</t>
  </si>
  <si>
    <t>Increased due to additional dresser &amp; crew</t>
  </si>
  <si>
    <t xml:space="preserve">LA included a dance captain due to movement. </t>
  </si>
  <si>
    <t xml:space="preserve">LA increased from £500 to include rehearsal set, steel deck, PA etc. </t>
  </si>
  <si>
    <t xml:space="preserve">Increased as per CC comments on R2V budget </t>
  </si>
  <si>
    <t xml:space="preserve">LA increased by £2k to include community cast </t>
  </si>
  <si>
    <t>LA increased for additional needs of community cast</t>
  </si>
  <si>
    <t>To include radio mics, CANS</t>
  </si>
  <si>
    <t xml:space="preserve">LA increased by £250 </t>
  </si>
  <si>
    <t xml:space="preserve">LA included in venue costs? </t>
  </si>
  <si>
    <t xml:space="preserve">LA to discuss with PB. Note this is the same as R2V and that's in an existing venue. Site dressing, instructions etc. </t>
  </si>
  <si>
    <t xml:space="preserve">LA inserted as we will want an archive of the show. </t>
  </si>
  <si>
    <t xml:space="preserve">LA inserted. Based on 1 FOH (including volunteering) &amp; 2 BO. This might still be too low? </t>
  </si>
  <si>
    <t xml:space="preserve">LA increased as we will need to buy kettle, cups etc. </t>
  </si>
  <si>
    <t xml:space="preserve">£7500 fee; £55.54 per day for 6 days per week for 6 weeks; </t>
  </si>
  <si>
    <t xml:space="preserve">LA reduced from £5k; HD revised </t>
  </si>
  <si>
    <t>LA reduced from £5k; HD removed - covered in Production Team</t>
  </si>
  <si>
    <t>Present for all rehearsal weeks, tech week and 1 more week to cover prep</t>
  </si>
  <si>
    <t xml:space="preserve">Choreographer </t>
  </si>
  <si>
    <t>Musical Director / Supervisor</t>
  </si>
  <si>
    <t>LA added travel &amp; expenses for MRE rehearsals.   HD added to fee to cover use of source materials</t>
  </si>
  <si>
    <t>6% author; 3% music &amp; lyrics</t>
  </si>
  <si>
    <t>NB R&amp;D costs provided for in C395</t>
  </si>
  <si>
    <t>Assume this person is additional to AMcN;  local to Hull</t>
  </si>
  <si>
    <t>Fee to Brian Lavery for use of source materials</t>
  </si>
  <si>
    <t>Assume MRE space provided without cost for Manchester rehearsals; Hull space required for community and full rehearsals</t>
  </si>
  <si>
    <t>Part Time ASM to support community rehearsals in Hull prior to run</t>
  </si>
  <si>
    <t>Assistant Stage Manager / Crew</t>
  </si>
  <si>
    <t>LA increased to 2 people. Will we need washing separate due to hours? Likely to be lots due to community cast.   Assume local person</t>
  </si>
  <si>
    <t>LA increased to 2 people. Play with music. Will need radio mics, backline etc and crew person. Changed to 1 Crew; 1 additiona ASM / Tech added; Assume local person</t>
  </si>
  <si>
    <t>Requires Guildhall to be 'provided' for zero hire and basic costs</t>
  </si>
  <si>
    <t>£10 per perf for 30 community cast</t>
  </si>
  <si>
    <t xml:space="preserve">1 @ £75 per show </t>
  </si>
  <si>
    <t xml:space="preserve">BOX OFFICE Staff </t>
  </si>
  <si>
    <t>2 @ £75 per perf</t>
  </si>
  <si>
    <t>FOH MANAGER</t>
  </si>
  <si>
    <t>1 @ £75 per perf</t>
  </si>
  <si>
    <t>LA increased due to rehearsals in Manchester; reduced as provision in R&amp;D costs</t>
  </si>
  <si>
    <t>Tech running built into Tech &amp; Production</t>
  </si>
  <si>
    <t>Commission for script &amp; music included here</t>
  </si>
  <si>
    <t>Royalties</t>
  </si>
  <si>
    <t>Capacity</t>
  </si>
  <si>
    <t>Based on capacity of 280; £20 tickets; av 6 shows a week; 75% financial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</si>
</sst>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25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7" fillId="0" borderId="4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11" xfId="0" applyNumberFormat="1" applyFont="1" applyFill="1" applyBorder="1" applyAlignment="1" applyProtection="1">
      <alignment horizontal="left"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13"/>
  <sheetViews>
    <sheetView tabSelected="1" topLeftCell="A16" zoomScaleNormal="100" zoomScaleSheetLayoutView="130" workbookViewId="0">
      <selection activeCell="D5" sqref="D5"/>
    </sheetView>
  </sheetViews>
  <sheetFormatPr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53.140625" style="2" bestFit="1" customWidth="1"/>
    <col min="14" max="16384" width="9.140625" style="2"/>
  </cols>
  <sheetData>
    <row r="1" spans="1:13">
      <c r="A1" s="1" t="s">
        <v>61</v>
      </c>
      <c r="B1" s="1" t="s">
        <v>234</v>
      </c>
    </row>
    <row r="2" spans="1:13">
      <c r="A2" s="1" t="s">
        <v>62</v>
      </c>
      <c r="B2" s="1" t="s">
        <v>235</v>
      </c>
    </row>
    <row r="3" spans="1:13">
      <c r="A3" s="1" t="s">
        <v>63</v>
      </c>
      <c r="B3" s="3" t="s">
        <v>64</v>
      </c>
      <c r="C3" s="4"/>
    </row>
    <row r="4" spans="1:13">
      <c r="A4" s="1" t="s">
        <v>186</v>
      </c>
      <c r="B4" s="71">
        <v>5</v>
      </c>
      <c r="C4" s="76" t="s">
        <v>5</v>
      </c>
      <c r="D4" s="75">
        <v>7</v>
      </c>
      <c r="E4" s="30" t="s">
        <v>198</v>
      </c>
      <c r="F4" s="2">
        <v>200</v>
      </c>
    </row>
    <row r="5" spans="1:13">
      <c r="A5" s="1" t="s">
        <v>149</v>
      </c>
      <c r="B5" s="72">
        <v>4</v>
      </c>
      <c r="C5" s="76" t="s">
        <v>13</v>
      </c>
      <c r="D5" s="75">
        <v>4</v>
      </c>
      <c r="E5" s="30" t="s">
        <v>217</v>
      </c>
      <c r="F5" s="74">
        <f>B5*6</f>
        <v>24</v>
      </c>
      <c r="G5" s="30" t="s">
        <v>301</v>
      </c>
      <c r="H5" s="2">
        <v>280</v>
      </c>
    </row>
    <row r="6" spans="1:13">
      <c r="A6" s="1"/>
      <c r="B6" s="72"/>
      <c r="C6" s="76"/>
      <c r="D6" s="75"/>
      <c r="E6" s="30"/>
      <c r="F6" s="74"/>
    </row>
    <row r="7" spans="1:13">
      <c r="A7" s="1" t="s">
        <v>208</v>
      </c>
      <c r="B7" s="100" t="s">
        <v>209</v>
      </c>
      <c r="D7" s="75"/>
      <c r="E7" s="30"/>
      <c r="F7" s="76" t="s">
        <v>210</v>
      </c>
    </row>
    <row r="8" spans="1:13">
      <c r="A8" s="1"/>
      <c r="B8" s="101" t="str">
        <f>A28</f>
        <v xml:space="preserve">ZK101 - COMMISSIONING &amp; FEES </v>
      </c>
      <c r="D8" s="75"/>
      <c r="E8" s="30"/>
      <c r="F8" s="5">
        <f>L72</f>
        <v>7560</v>
      </c>
    </row>
    <row r="9" spans="1:13">
      <c r="A9" s="1"/>
      <c r="B9" s="101" t="str">
        <f>A75</f>
        <v xml:space="preserve">ZK102 - DEVELOPMENT &amp; R&amp;D </v>
      </c>
      <c r="D9" s="75"/>
      <c r="E9" s="30"/>
      <c r="F9" s="5">
        <f>L95</f>
        <v>3000</v>
      </c>
      <c r="M9" s="2" t="s">
        <v>300</v>
      </c>
    </row>
    <row r="10" spans="1:13">
      <c r="A10" s="1"/>
      <c r="B10" s="101" t="str">
        <f>A97</f>
        <v xml:space="preserve">ZK103 - CREATIVE TEAM, PRODUCTION TEAM &amp; CONSULTANTS </v>
      </c>
      <c r="C10" s="76"/>
      <c r="D10" s="75"/>
      <c r="E10" s="30"/>
      <c r="F10" s="2">
        <f>L153</f>
        <v>137975</v>
      </c>
      <c r="M10" s="2" t="s">
        <v>299</v>
      </c>
    </row>
    <row r="11" spans="1:13">
      <c r="A11" s="1"/>
      <c r="B11" s="101" t="str">
        <f>A155</f>
        <v xml:space="preserve">ZK104 - PERFORMERS AND MUSICIANS </v>
      </c>
      <c r="C11" s="76"/>
      <c r="D11" s="75"/>
      <c r="E11" s="30"/>
      <c r="F11" s="2">
        <f>L186</f>
        <v>76054.606666666659</v>
      </c>
    </row>
    <row r="12" spans="1:13">
      <c r="A12" s="1"/>
      <c r="B12" s="101" t="str">
        <f>A188</f>
        <v xml:space="preserve">ZK105 - REHEARSAL COSTS </v>
      </c>
      <c r="C12" s="76"/>
      <c r="D12" s="75"/>
      <c r="E12" s="30"/>
      <c r="F12" s="2">
        <f>L205</f>
        <v>4750</v>
      </c>
    </row>
    <row r="13" spans="1:13">
      <c r="A13" s="1"/>
      <c r="B13" s="101" t="str">
        <f>A208</f>
        <v xml:space="preserve">ZK106 - TECHNICAL &amp; PRODUCTION </v>
      </c>
      <c r="C13" s="76"/>
      <c r="D13" s="75"/>
      <c r="E13" s="30"/>
      <c r="F13" s="2">
        <f>L248</f>
        <v>72100</v>
      </c>
    </row>
    <row r="14" spans="1:13">
      <c r="A14" s="1"/>
      <c r="B14" s="101" t="str">
        <f>A250</f>
        <v xml:space="preserve">ZK107 - VENUE &amp; LOGISTICS </v>
      </c>
      <c r="C14" s="76"/>
      <c r="D14" s="75"/>
      <c r="E14" s="30"/>
      <c r="F14" s="2">
        <f>L285</f>
        <v>13400</v>
      </c>
    </row>
    <row r="15" spans="1:13">
      <c r="A15" s="1"/>
      <c r="B15" s="101" t="str">
        <f>A287</f>
        <v>ZK108 - PROGRAMME LEGAL &amp; DOCUMENTATION</v>
      </c>
      <c r="C15" s="76"/>
      <c r="D15" s="75"/>
      <c r="E15" s="30"/>
      <c r="F15" s="2">
        <f>L295</f>
        <v>3500</v>
      </c>
    </row>
    <row r="16" spans="1:13">
      <c r="A16" s="1"/>
      <c r="B16" s="101" t="str">
        <f>A297</f>
        <v>ZK109 - PROGRAMME MARKETING, DIGITAL &amp; COMMS</v>
      </c>
      <c r="C16" s="76"/>
      <c r="D16" s="75"/>
      <c r="E16" s="30"/>
      <c r="F16" s="2">
        <f>L323</f>
        <v>18000</v>
      </c>
    </row>
    <row r="17" spans="1:13">
      <c r="A17" s="1"/>
      <c r="B17" s="101" t="str">
        <f>A325</f>
        <v xml:space="preserve">ZK110 - PROGRAMME EDUCATION &amp; COMMUNITY ENGAGEMENT </v>
      </c>
      <c r="C17" s="76"/>
      <c r="D17" s="75"/>
      <c r="E17" s="30"/>
      <c r="F17" s="2">
        <f>L346</f>
        <v>9500</v>
      </c>
    </row>
    <row r="18" spans="1:13">
      <c r="A18" s="1"/>
      <c r="B18" s="101" t="str">
        <f>A348</f>
        <v xml:space="preserve">ZK111 - PROGRAMME VOLUNTEERING </v>
      </c>
      <c r="C18" s="76"/>
      <c r="D18" s="75"/>
      <c r="E18" s="30"/>
      <c r="F18" s="2">
        <f>L364</f>
        <v>1800</v>
      </c>
    </row>
    <row r="19" spans="1:13">
      <c r="A19" s="1"/>
      <c r="B19" s="101" t="str">
        <f>A367</f>
        <v xml:space="preserve">ZK112 - ARTIST &amp; GUEST LIAISON </v>
      </c>
      <c r="C19" s="76"/>
      <c r="D19" s="75"/>
      <c r="E19" s="30"/>
      <c r="F19" s="2">
        <f>L384</f>
        <v>1500</v>
      </c>
    </row>
    <row r="20" spans="1:13">
      <c r="A20" s="1"/>
      <c r="B20" s="101" t="str">
        <f>A386</f>
        <v xml:space="preserve">ZK113 - RUNNING COSTS </v>
      </c>
      <c r="C20" s="76"/>
      <c r="D20" s="75"/>
      <c r="E20" s="30"/>
      <c r="F20" s="2">
        <f>L396</f>
        <v>0</v>
      </c>
      <c r="M20" s="2" t="s">
        <v>298</v>
      </c>
    </row>
    <row r="21" spans="1:13">
      <c r="A21" s="1"/>
      <c r="B21" s="101" t="str">
        <f>A399</f>
        <v>ZK114 - ADMIN &amp; MISC</v>
      </c>
      <c r="C21" s="76"/>
      <c r="D21" s="75"/>
      <c r="E21" s="30"/>
      <c r="F21" s="2">
        <f>L407</f>
        <v>500</v>
      </c>
    </row>
    <row r="22" spans="1:13">
      <c r="A22" s="1"/>
      <c r="B22" s="100" t="s">
        <v>210</v>
      </c>
      <c r="C22" s="76"/>
      <c r="D22" s="102"/>
      <c r="E22" s="30"/>
      <c r="F22" s="30">
        <f>SUM(F8:F21)</f>
        <v>349639.60666666669</v>
      </c>
    </row>
    <row r="23" spans="1:13">
      <c r="A23" s="1"/>
      <c r="B23" s="101"/>
      <c r="C23" s="76"/>
      <c r="D23" s="75"/>
      <c r="E23" s="30"/>
      <c r="F23" s="74"/>
    </row>
    <row r="24" spans="1:13">
      <c r="A24" s="1"/>
      <c r="B24" s="101" t="s">
        <v>219</v>
      </c>
      <c r="C24" s="5">
        <v>3500</v>
      </c>
      <c r="D24" s="75" t="s">
        <v>225</v>
      </c>
      <c r="E24" s="30"/>
      <c r="F24" s="104">
        <f>C24*F5</f>
        <v>84000</v>
      </c>
      <c r="M24" s="2" t="s">
        <v>302</v>
      </c>
    </row>
    <row r="25" spans="1:13">
      <c r="A25" s="1"/>
      <c r="B25" s="101" t="s">
        <v>220</v>
      </c>
      <c r="C25" s="76"/>
      <c r="D25" s="75"/>
      <c r="E25" s="30"/>
      <c r="F25" s="104">
        <v>200000</v>
      </c>
    </row>
    <row r="26" spans="1:13">
      <c r="A26" s="1"/>
      <c r="B26" s="101" t="s">
        <v>221</v>
      </c>
      <c r="C26" s="76"/>
      <c r="D26" s="75"/>
      <c r="E26" s="30"/>
      <c r="F26" s="105">
        <f>F25+F24-F22</f>
        <v>-65639.606666666688</v>
      </c>
    </row>
    <row r="27" spans="1:13" ht="15.75" thickBot="1">
      <c r="A27" s="6"/>
      <c r="B27" s="6"/>
      <c r="C27" s="4"/>
      <c r="D27" s="75"/>
    </row>
    <row r="28" spans="1:13" ht="16.5" customHeight="1" thickBot="1">
      <c r="A28" s="116" t="s">
        <v>65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  <c r="M28" s="2" t="s">
        <v>255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2"/>
      <c r="B30" s="32" t="s">
        <v>155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3" s="35" customFormat="1" ht="16.5" customHeight="1">
      <c r="A31" s="38"/>
      <c r="B31" s="32" t="s">
        <v>90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156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90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157</v>
      </c>
      <c r="C36" s="103">
        <v>0.09</v>
      </c>
      <c r="D36" s="38" t="s">
        <v>216</v>
      </c>
      <c r="E36" s="38"/>
      <c r="F36" s="38"/>
      <c r="G36" s="38"/>
      <c r="H36" s="38"/>
      <c r="I36" s="38"/>
      <c r="J36" s="38"/>
      <c r="K36" s="38"/>
      <c r="L36" s="38">
        <f>C36*F24</f>
        <v>7560</v>
      </c>
      <c r="M36" s="35" t="s">
        <v>281</v>
      </c>
    </row>
    <row r="37" spans="1:13" s="35" customFormat="1" ht="16.5" customHeight="1">
      <c r="A37" s="38"/>
      <c r="B37" s="32" t="s">
        <v>89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7560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158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90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159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89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160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89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161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89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162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89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163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89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164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89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165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89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166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89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2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s="35" customFormat="1" ht="16.5" customHeight="1">
      <c r="A66" s="38"/>
      <c r="B66" s="32" t="s">
        <v>167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s="35" customFormat="1" ht="16.5" customHeight="1">
      <c r="A67" s="38"/>
      <c r="B67" s="32" t="s">
        <v>89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2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s="35" customFormat="1" ht="16.5" customHeight="1">
      <c r="A69" s="38"/>
      <c r="B69" s="32" t="s">
        <v>168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 s="35" customFormat="1" ht="16.5" customHeight="1">
      <c r="A70" s="38"/>
      <c r="B70" s="32" t="s">
        <v>89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2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s="1" customFormat="1" ht="16.5" customHeight="1">
      <c r="A72" s="40"/>
      <c r="B72" s="3" t="s">
        <v>169</v>
      </c>
      <c r="C72" s="40"/>
      <c r="D72" s="40"/>
      <c r="E72" s="40"/>
      <c r="F72" s="40"/>
      <c r="G72" s="40"/>
      <c r="H72" s="40"/>
      <c r="I72" s="40"/>
      <c r="J72" s="40"/>
      <c r="K72" s="40"/>
      <c r="L72" s="40">
        <f>SUM(L31+L34+L37+L40+L43+L46+L49+L52+L55+L58+L61+L64+L67+L70)</f>
        <v>7560</v>
      </c>
    </row>
    <row r="73" spans="1:12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ht="15.75" thickBot="1">
      <c r="A74" s="6"/>
      <c r="B74" s="3"/>
      <c r="C74" s="4"/>
    </row>
    <row r="75" spans="1:12" ht="15.75" thickBot="1">
      <c r="A75" s="116" t="s">
        <v>66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8"/>
    </row>
    <row r="76" spans="1:1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s="35" customFormat="1">
      <c r="A77" s="40"/>
      <c r="B77" s="32" t="s">
        <v>170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s="35" customFormat="1">
      <c r="A78" s="40"/>
      <c r="B78" s="32" t="s">
        <v>89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0</v>
      </c>
    </row>
    <row r="79" spans="1:12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 s="35" customFormat="1">
      <c r="A80" s="40"/>
      <c r="B80" s="32" t="s">
        <v>171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3" s="35" customFormat="1">
      <c r="A81" s="40"/>
      <c r="B81" s="32" t="s">
        <v>89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173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3" s="35" customFormat="1">
      <c r="A84" s="40"/>
      <c r="B84" s="32" t="s">
        <v>89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172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2500</v>
      </c>
      <c r="M86" s="35" t="s">
        <v>284</v>
      </c>
    </row>
    <row r="87" spans="1:13" s="35" customFormat="1">
      <c r="A87" s="40"/>
      <c r="B87" s="32" t="s">
        <v>89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2500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174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236</v>
      </c>
    </row>
    <row r="90" spans="1:13" s="35" customFormat="1">
      <c r="A90" s="40"/>
      <c r="B90" s="32" t="s">
        <v>89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  <c r="M90" s="35" t="s">
        <v>282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175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89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3" t="s">
        <v>176</v>
      </c>
      <c r="C95" s="3"/>
      <c r="L95" s="1">
        <f>SUM(L78+L81+L84+L87+L90+L93)</f>
        <v>3000</v>
      </c>
    </row>
    <row r="96" spans="1:13" ht="15.75" thickBot="1">
      <c r="A96" s="4"/>
      <c r="B96" s="4"/>
      <c r="C96" s="4"/>
    </row>
    <row r="97" spans="1:13" ht="15.75" thickBot="1">
      <c r="A97" s="116" t="s">
        <v>43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8"/>
    </row>
    <row r="98" spans="1:13">
      <c r="A98" s="7" t="s">
        <v>26</v>
      </c>
      <c r="B98" s="8" t="s">
        <v>27</v>
      </c>
      <c r="C98" s="53"/>
      <c r="D98" s="53"/>
      <c r="E98" s="53"/>
      <c r="F98" s="53"/>
      <c r="G98" s="53"/>
      <c r="H98" s="53"/>
      <c r="I98" s="53"/>
      <c r="J98" s="53"/>
      <c r="K98" s="53"/>
      <c r="L98" s="9"/>
      <c r="M98" s="10"/>
    </row>
    <row r="99" spans="1:13">
      <c r="A99" s="4"/>
      <c r="B99" s="8" t="s">
        <v>31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89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30</v>
      </c>
      <c r="C102" s="106" t="s">
        <v>187</v>
      </c>
      <c r="D102" s="107"/>
      <c r="E102" s="108" t="s">
        <v>38</v>
      </c>
      <c r="F102" s="108" t="s">
        <v>39</v>
      </c>
      <c r="G102" s="108" t="s">
        <v>40</v>
      </c>
      <c r="H102" s="108" t="s">
        <v>39</v>
      </c>
      <c r="I102" s="108" t="s">
        <v>41</v>
      </c>
      <c r="J102" s="109" t="s">
        <v>39</v>
      </c>
      <c r="K102" s="12"/>
      <c r="L102" s="12"/>
      <c r="M102" s="10"/>
    </row>
    <row r="103" spans="1:13" ht="13.5" customHeight="1">
      <c r="A103" s="26"/>
      <c r="B103" s="27" t="s">
        <v>142</v>
      </c>
      <c r="C103" s="110"/>
      <c r="E103" s="28">
        <v>5000</v>
      </c>
      <c r="F103" s="28"/>
      <c r="G103" s="28">
        <v>500</v>
      </c>
      <c r="H103" s="28"/>
      <c r="I103" s="28">
        <v>1000</v>
      </c>
      <c r="J103" s="111"/>
      <c r="K103" s="29"/>
      <c r="L103" s="29"/>
      <c r="M103" s="10"/>
    </row>
    <row r="104" spans="1:13">
      <c r="A104" s="4"/>
      <c r="B104" s="13" t="s">
        <v>32</v>
      </c>
      <c r="C104" s="69"/>
      <c r="E104" s="14">
        <v>3000</v>
      </c>
      <c r="F104" s="10"/>
      <c r="G104" s="10"/>
      <c r="H104" s="10"/>
      <c r="I104" s="10"/>
      <c r="J104" s="67"/>
      <c r="K104" s="10"/>
      <c r="L104" s="10"/>
      <c r="M104" s="10"/>
    </row>
    <row r="105" spans="1:13">
      <c r="A105" s="4"/>
      <c r="B105" s="13" t="s">
        <v>238</v>
      </c>
      <c r="C105" s="69" t="s">
        <v>237</v>
      </c>
      <c r="E105" s="2">
        <v>10000</v>
      </c>
      <c r="F105" s="10"/>
      <c r="G105" s="10">
        <v>800</v>
      </c>
      <c r="H105" s="14"/>
      <c r="I105" s="122">
        <f>B4*F4+200</f>
        <v>1200</v>
      </c>
      <c r="J105" s="67"/>
      <c r="K105" s="10"/>
      <c r="L105" s="10"/>
      <c r="M105" s="14" t="s">
        <v>274</v>
      </c>
    </row>
    <row r="106" spans="1:13">
      <c r="A106" s="4"/>
      <c r="B106" s="13" t="s">
        <v>239</v>
      </c>
      <c r="C106" s="69" t="s">
        <v>240</v>
      </c>
      <c r="E106" s="14">
        <v>5000</v>
      </c>
      <c r="F106" s="10"/>
      <c r="G106" s="10">
        <v>800</v>
      </c>
      <c r="H106" s="14"/>
      <c r="I106" s="122">
        <f>B4*F4+200</f>
        <v>1200</v>
      </c>
      <c r="J106" s="67"/>
      <c r="K106" s="10"/>
      <c r="L106" s="10"/>
      <c r="M106" s="10" t="s">
        <v>256</v>
      </c>
    </row>
    <row r="107" spans="1:13">
      <c r="A107" s="4"/>
      <c r="B107" s="13" t="s">
        <v>33</v>
      </c>
      <c r="C107" s="69" t="s">
        <v>241</v>
      </c>
      <c r="E107" s="14">
        <v>7500</v>
      </c>
      <c r="F107" s="10"/>
      <c r="G107" s="10">
        <v>800</v>
      </c>
      <c r="H107" s="14"/>
      <c r="I107" s="14">
        <v>1000</v>
      </c>
      <c r="J107" s="67"/>
      <c r="K107" s="10"/>
      <c r="L107" s="10"/>
      <c r="M107" s="10"/>
    </row>
    <row r="108" spans="1:13">
      <c r="A108" s="4"/>
      <c r="B108" s="13" t="s">
        <v>242</v>
      </c>
      <c r="C108" s="69"/>
      <c r="E108" s="122">
        <v>4000</v>
      </c>
      <c r="F108" s="10"/>
      <c r="G108" s="10">
        <v>500</v>
      </c>
      <c r="H108" s="14"/>
      <c r="I108" s="14">
        <v>500</v>
      </c>
      <c r="J108" s="67"/>
      <c r="K108" s="10"/>
      <c r="L108" s="10"/>
      <c r="M108" s="10" t="s">
        <v>275</v>
      </c>
    </row>
    <row r="109" spans="1:13">
      <c r="A109" s="4"/>
      <c r="B109" s="13" t="s">
        <v>257</v>
      </c>
      <c r="C109" s="69"/>
      <c r="E109" s="14">
        <v>6000</v>
      </c>
      <c r="F109" s="10"/>
      <c r="G109" s="10">
        <v>800</v>
      </c>
      <c r="H109" s="14"/>
      <c r="I109" s="14">
        <v>1000</v>
      </c>
      <c r="J109" s="67"/>
      <c r="K109" s="10"/>
      <c r="L109" s="10"/>
      <c r="M109" s="10"/>
    </row>
    <row r="110" spans="1:13">
      <c r="A110" s="4"/>
      <c r="B110" s="13" t="s">
        <v>34</v>
      </c>
      <c r="C110" s="69"/>
      <c r="E110" s="14">
        <v>700</v>
      </c>
      <c r="F110" s="10"/>
      <c r="G110" s="10">
        <v>300</v>
      </c>
      <c r="H110" s="14"/>
      <c r="I110" s="14"/>
      <c r="J110" s="67"/>
      <c r="K110" s="10"/>
      <c r="L110" s="10"/>
      <c r="M110" s="10"/>
    </row>
    <row r="111" spans="1:13">
      <c r="A111" s="4"/>
      <c r="B111" s="13" t="s">
        <v>35</v>
      </c>
      <c r="C111" s="69"/>
      <c r="E111" s="14">
        <v>3000</v>
      </c>
      <c r="F111" s="10"/>
      <c r="G111" s="10">
        <v>500</v>
      </c>
      <c r="H111" s="14"/>
      <c r="I111" s="14">
        <v>600</v>
      </c>
      <c r="J111" s="67"/>
      <c r="K111" s="10"/>
      <c r="L111" s="10"/>
      <c r="M111" s="10"/>
    </row>
    <row r="112" spans="1:13">
      <c r="A112" s="4"/>
      <c r="B112" s="13" t="s">
        <v>36</v>
      </c>
      <c r="C112" s="69"/>
      <c r="E112" s="14">
        <v>3000</v>
      </c>
      <c r="F112" s="10"/>
      <c r="G112" s="10">
        <v>500</v>
      </c>
      <c r="H112" s="14"/>
      <c r="I112" s="14">
        <v>600</v>
      </c>
      <c r="J112" s="67"/>
      <c r="K112" s="10"/>
      <c r="L112" s="10"/>
      <c r="M112" s="10"/>
    </row>
    <row r="113" spans="1:21">
      <c r="A113" s="4"/>
      <c r="B113" s="13" t="s">
        <v>243</v>
      </c>
      <c r="C113" s="69"/>
      <c r="E113" s="122">
        <f>0</f>
        <v>0</v>
      </c>
      <c r="F113" s="10"/>
      <c r="G113" s="10">
        <v>0</v>
      </c>
      <c r="H113" s="14"/>
      <c r="I113" s="14">
        <v>0</v>
      </c>
      <c r="J113" s="67"/>
      <c r="K113" s="10"/>
      <c r="L113" s="10"/>
      <c r="M113" s="10" t="s">
        <v>276</v>
      </c>
    </row>
    <row r="114" spans="1:21">
      <c r="A114" s="4"/>
      <c r="B114" s="13" t="s">
        <v>278</v>
      </c>
      <c r="C114" s="69"/>
      <c r="E114" s="122">
        <v>3000</v>
      </c>
      <c r="F114" s="10"/>
      <c r="G114" s="10">
        <v>300</v>
      </c>
      <c r="H114" s="14"/>
      <c r="I114" s="14">
        <v>400</v>
      </c>
      <c r="J114" s="67"/>
      <c r="K114" s="10"/>
      <c r="L114" s="10"/>
      <c r="M114" s="10" t="s">
        <v>258</v>
      </c>
    </row>
    <row r="115" spans="1:21">
      <c r="A115" s="4"/>
      <c r="B115" s="13" t="s">
        <v>247</v>
      </c>
      <c r="C115" s="69"/>
      <c r="E115" s="122"/>
      <c r="F115" s="10"/>
      <c r="G115" s="10"/>
      <c r="H115" s="14"/>
      <c r="I115" s="14"/>
      <c r="J115" s="67"/>
      <c r="K115" s="10"/>
      <c r="L115" s="10"/>
      <c r="M115" s="10"/>
    </row>
    <row r="116" spans="1:21">
      <c r="A116" s="4"/>
      <c r="B116" s="13" t="s">
        <v>37</v>
      </c>
      <c r="C116" s="69"/>
      <c r="E116" s="122">
        <v>1000</v>
      </c>
      <c r="F116" s="10"/>
      <c r="G116" s="10"/>
      <c r="H116" s="14"/>
      <c r="I116" s="14">
        <v>250</v>
      </c>
      <c r="J116" s="67"/>
      <c r="K116" s="10"/>
      <c r="L116" s="10"/>
      <c r="M116" s="10" t="s">
        <v>259</v>
      </c>
    </row>
    <row r="117" spans="1:21">
      <c r="A117" s="4"/>
      <c r="B117" s="13" t="s">
        <v>279</v>
      </c>
      <c r="C117" s="69"/>
      <c r="E117" s="14">
        <v>3000</v>
      </c>
      <c r="F117" s="10"/>
      <c r="G117" s="39">
        <v>500</v>
      </c>
      <c r="H117" s="122"/>
      <c r="I117" s="122">
        <v>600</v>
      </c>
      <c r="J117" s="67"/>
      <c r="K117" s="10"/>
      <c r="L117" s="10"/>
      <c r="M117" s="10" t="s">
        <v>283</v>
      </c>
    </row>
    <row r="118" spans="1:21">
      <c r="A118" s="4"/>
      <c r="B118" s="13" t="s">
        <v>244</v>
      </c>
      <c r="C118" s="69" t="s">
        <v>245</v>
      </c>
      <c r="E118" s="14">
        <v>5000</v>
      </c>
      <c r="F118" s="10"/>
      <c r="G118" s="39">
        <v>500</v>
      </c>
      <c r="H118" s="39"/>
      <c r="I118" s="39">
        <v>500</v>
      </c>
      <c r="J118" s="67"/>
      <c r="K118" s="10"/>
      <c r="L118" s="10"/>
      <c r="M118" s="10" t="s">
        <v>280</v>
      </c>
    </row>
    <row r="119" spans="1:21">
      <c r="A119" s="4"/>
      <c r="B119" s="13" t="s">
        <v>246</v>
      </c>
      <c r="C119" s="69"/>
      <c r="E119" s="122">
        <v>4000</v>
      </c>
      <c r="F119" s="10"/>
      <c r="G119" s="10"/>
      <c r="H119" s="10"/>
      <c r="I119" s="10">
        <v>1000</v>
      </c>
      <c r="J119" s="67"/>
      <c r="K119" s="10"/>
      <c r="L119" s="10"/>
      <c r="M119" s="10" t="s">
        <v>260</v>
      </c>
    </row>
    <row r="120" spans="1:21">
      <c r="A120" s="15"/>
      <c r="B120" s="16" t="s">
        <v>197</v>
      </c>
      <c r="C120" s="68"/>
      <c r="D120" s="112"/>
      <c r="E120" s="113">
        <f>SUM(E103:E119)</f>
        <v>63200</v>
      </c>
      <c r="F120" s="112"/>
      <c r="G120" s="113">
        <f>SUM(G103:G119)</f>
        <v>6800</v>
      </c>
      <c r="H120" s="112"/>
      <c r="I120" s="113">
        <f>SUM(I103:I119)</f>
        <v>9850</v>
      </c>
      <c r="J120" s="114"/>
      <c r="L120" s="18">
        <f>SUM(E120:I120)</f>
        <v>79850</v>
      </c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>
      <c r="A121" s="15"/>
      <c r="B121" s="16"/>
      <c r="C121" s="4"/>
      <c r="D121" s="10"/>
      <c r="E121" s="10"/>
      <c r="F121" s="10"/>
      <c r="G121" s="10"/>
      <c r="H121" s="10"/>
      <c r="I121" s="10"/>
      <c r="J121" s="10"/>
      <c r="K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15"/>
      <c r="B122" s="16" t="s">
        <v>139</v>
      </c>
      <c r="C122" s="4"/>
      <c r="D122" s="10"/>
      <c r="E122" s="10"/>
      <c r="F122" s="10"/>
      <c r="G122" s="10"/>
      <c r="H122" s="10"/>
      <c r="I122" s="10"/>
      <c r="J122" s="10"/>
      <c r="K122" s="10"/>
      <c r="L122" s="10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30" customFormat="1">
      <c r="A123" s="15"/>
      <c r="B123" s="16" t="s">
        <v>89</v>
      </c>
      <c r="C123" s="4"/>
      <c r="D123" s="18"/>
      <c r="E123" s="2"/>
      <c r="F123" s="2"/>
      <c r="G123" s="2"/>
      <c r="H123" s="2"/>
      <c r="I123" s="2"/>
      <c r="J123" s="2"/>
      <c r="K123" s="18"/>
      <c r="L123" s="18">
        <f>SUM(E123)</f>
        <v>0</v>
      </c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>
      <c r="A125" s="47"/>
      <c r="B125" s="16" t="s">
        <v>140</v>
      </c>
      <c r="C125" s="4"/>
      <c r="D125" s="10"/>
      <c r="E125" s="10"/>
      <c r="F125" s="10"/>
      <c r="G125" s="10"/>
      <c r="H125" s="10"/>
      <c r="I125" s="10"/>
      <c r="J125" s="10"/>
      <c r="K125" s="10"/>
      <c r="L125" s="10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>
      <c r="A126" s="15"/>
      <c r="B126" s="16" t="s">
        <v>89</v>
      </c>
      <c r="C126" s="4"/>
      <c r="D126" s="10"/>
      <c r="E126" s="10"/>
      <c r="F126" s="10"/>
      <c r="G126" s="10"/>
      <c r="H126" s="10">
        <f>SUM(H103:H122)</f>
        <v>0</v>
      </c>
      <c r="I126" s="10"/>
      <c r="J126" s="10">
        <f>SUM(J103:J122)</f>
        <v>0</v>
      </c>
      <c r="K126" s="18"/>
      <c r="L126" s="18">
        <f>G126+I126</f>
        <v>0</v>
      </c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15"/>
      <c r="C128" s="7"/>
      <c r="E128" s="7"/>
      <c r="F128" s="7"/>
      <c r="G128" s="7"/>
      <c r="H128" s="7"/>
      <c r="I128" s="7"/>
      <c r="J128" s="7"/>
      <c r="K128" s="12"/>
      <c r="L128" s="10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7" t="s">
        <v>42</v>
      </c>
      <c r="B129" s="8" t="s">
        <v>27</v>
      </c>
      <c r="C129" s="119" t="s">
        <v>0</v>
      </c>
      <c r="D129" s="120"/>
      <c r="E129" s="120"/>
      <c r="F129" s="120"/>
      <c r="G129" s="121"/>
      <c r="H129" s="120" t="s">
        <v>1</v>
      </c>
      <c r="I129" s="120"/>
      <c r="J129" s="120"/>
      <c r="K129" s="121"/>
      <c r="L129" s="9" t="s">
        <v>29</v>
      </c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30">
      <c r="A130" s="19"/>
      <c r="B130" s="16" t="s">
        <v>200</v>
      </c>
      <c r="C130" s="64" t="s">
        <v>199</v>
      </c>
      <c r="D130" s="11" t="s">
        <v>3</v>
      </c>
      <c r="E130" s="11" t="s">
        <v>151</v>
      </c>
      <c r="F130" s="11" t="s">
        <v>152</v>
      </c>
      <c r="G130" s="65" t="s">
        <v>196</v>
      </c>
      <c r="H130" s="11" t="s">
        <v>4</v>
      </c>
      <c r="I130" s="11" t="s">
        <v>153</v>
      </c>
      <c r="J130" s="11" t="s">
        <v>154</v>
      </c>
      <c r="K130" s="65" t="s">
        <v>196</v>
      </c>
      <c r="L130" s="11" t="s">
        <v>28</v>
      </c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>
      <c r="A131" s="15"/>
      <c r="B131" s="13" t="s">
        <v>20</v>
      </c>
      <c r="C131" s="66">
        <v>1</v>
      </c>
      <c r="D131" s="48">
        <f>$B$4</f>
        <v>5</v>
      </c>
      <c r="E131" s="10">
        <v>600</v>
      </c>
      <c r="F131" s="10">
        <f>SUM(C131*D131*E131)</f>
        <v>3000</v>
      </c>
      <c r="G131" s="67">
        <f>SUM(C131*D131*$F$4)</f>
        <v>1000</v>
      </c>
      <c r="H131" s="48">
        <f>$B$5</f>
        <v>4</v>
      </c>
      <c r="I131" s="10">
        <f>E131</f>
        <v>600</v>
      </c>
      <c r="J131" s="10">
        <f>SUM(C131*H131*I131)</f>
        <v>2400</v>
      </c>
      <c r="K131" s="67">
        <f>SUM(C131*H131*$F$4)</f>
        <v>800</v>
      </c>
      <c r="L131" s="10">
        <f>SUM(F131+G131+J131+K131)</f>
        <v>7200</v>
      </c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15"/>
      <c r="B132" s="13" t="s">
        <v>143</v>
      </c>
      <c r="C132" s="66">
        <v>1</v>
      </c>
      <c r="D132" s="48">
        <f>$B$4</f>
        <v>5</v>
      </c>
      <c r="E132" s="10">
        <v>450</v>
      </c>
      <c r="F132" s="10">
        <f>SUM(C132*D132*E132)</f>
        <v>2250</v>
      </c>
      <c r="G132" s="67">
        <f t="shared" ref="G132:G133" si="0">SUM(C132*D132*$F$4)</f>
        <v>1000</v>
      </c>
      <c r="H132" s="48">
        <f>$B$5</f>
        <v>4</v>
      </c>
      <c r="I132" s="10">
        <f t="shared" ref="I132:I148" si="1">E132</f>
        <v>450</v>
      </c>
      <c r="J132" s="10">
        <f t="shared" ref="J132:J148" si="2">SUM(C132*H132*I132)</f>
        <v>1800</v>
      </c>
      <c r="K132" s="67">
        <f t="shared" ref="K132:K133" si="3">SUM(C132*H132*$F$4)</f>
        <v>800</v>
      </c>
      <c r="L132" s="10">
        <f t="shared" ref="L132:L133" si="4">SUM(F132+G132+J132+K132)</f>
        <v>5850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>
      <c r="A133" s="15"/>
      <c r="B133" s="13" t="s">
        <v>144</v>
      </c>
      <c r="C133" s="66">
        <v>1</v>
      </c>
      <c r="D133" s="48">
        <f>$B$4</f>
        <v>5</v>
      </c>
      <c r="E133" s="10">
        <v>400</v>
      </c>
      <c r="F133" s="10">
        <f>SUM(C133*D133*E133)</f>
        <v>2000</v>
      </c>
      <c r="G133" s="67">
        <f t="shared" si="0"/>
        <v>1000</v>
      </c>
      <c r="H133" s="48">
        <f>$B$5</f>
        <v>4</v>
      </c>
      <c r="I133" s="10">
        <f t="shared" si="1"/>
        <v>400</v>
      </c>
      <c r="J133" s="10">
        <f t="shared" si="2"/>
        <v>1600</v>
      </c>
      <c r="K133" s="67">
        <f t="shared" si="3"/>
        <v>800</v>
      </c>
      <c r="L133" s="10">
        <f t="shared" si="4"/>
        <v>5400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287</v>
      </c>
      <c r="C134" s="66">
        <v>1</v>
      </c>
      <c r="D134" s="48">
        <f>$B$4</f>
        <v>5</v>
      </c>
      <c r="E134" s="10">
        <v>400</v>
      </c>
      <c r="F134" s="10">
        <f>SUM(C134*D134*E134)</f>
        <v>2000</v>
      </c>
      <c r="G134" s="67">
        <f t="shared" ref="G134" si="5">SUM(C134*D134*$F$4)</f>
        <v>1000</v>
      </c>
      <c r="H134" s="48">
        <f>$B$5</f>
        <v>4</v>
      </c>
      <c r="I134" s="10">
        <f t="shared" ref="I134" si="6">E134</f>
        <v>400</v>
      </c>
      <c r="J134" s="10">
        <f t="shared" ref="J134" si="7">SUM(C134*H134*I134)</f>
        <v>1600</v>
      </c>
      <c r="K134" s="67">
        <f t="shared" ref="K134" si="8">SUM(C134*H134*$F$4)</f>
        <v>800</v>
      </c>
      <c r="L134" s="10">
        <f t="shared" ref="L134" si="9">SUM(F134+G134+J134+K134)</f>
        <v>5400</v>
      </c>
      <c r="M134" s="17" t="s">
        <v>286</v>
      </c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21</v>
      </c>
      <c r="C135" s="66"/>
      <c r="D135" s="77">
        <v>0.08</v>
      </c>
      <c r="E135" s="55"/>
      <c r="F135" s="89">
        <f>SUM(F131+F132+F133)*D135</f>
        <v>580</v>
      </c>
      <c r="G135" s="67"/>
      <c r="H135" s="48"/>
      <c r="I135" s="77">
        <v>0.05</v>
      </c>
      <c r="J135" s="10">
        <f>SUM(J131+J132+J133)*I135</f>
        <v>290</v>
      </c>
      <c r="K135" s="67"/>
      <c r="L135" s="10">
        <f>F135+J135</f>
        <v>870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22</v>
      </c>
      <c r="C136" s="66"/>
      <c r="D136" s="78">
        <v>0.13800000000000001</v>
      </c>
      <c r="E136" s="54"/>
      <c r="F136" s="10"/>
      <c r="G136" s="67"/>
      <c r="H136" s="48"/>
      <c r="I136" s="78">
        <v>0.13800000000000001</v>
      </c>
      <c r="J136" s="10"/>
      <c r="K136" s="67"/>
      <c r="L136" s="10"/>
      <c r="M136" s="17" t="s">
        <v>185</v>
      </c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145</v>
      </c>
      <c r="C137" s="66"/>
      <c r="D137" s="87">
        <f>1/12</f>
        <v>8.3333333333333329E-2</v>
      </c>
      <c r="E137" s="57"/>
      <c r="F137" s="10">
        <f>SUM(F131+F132+F133)*D137</f>
        <v>604.16666666666663</v>
      </c>
      <c r="G137" s="67"/>
      <c r="H137" s="48"/>
      <c r="I137" s="87">
        <f>1/12</f>
        <v>8.3333333333333329E-2</v>
      </c>
      <c r="J137" s="17">
        <f>SUM(J131+J132+J133)*I137</f>
        <v>483.33333333333331</v>
      </c>
      <c r="K137" s="67"/>
      <c r="L137" s="10">
        <f>SUM(F137+J137)</f>
        <v>1087.5</v>
      </c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201</v>
      </c>
      <c r="C138" s="66"/>
      <c r="D138" s="88">
        <v>0.03</v>
      </c>
      <c r="E138" s="58"/>
      <c r="F138" s="89">
        <f>SUM(F131+F132+F133)*D138</f>
        <v>217.5</v>
      </c>
      <c r="G138" s="67"/>
      <c r="H138" s="48"/>
      <c r="I138" s="88">
        <v>0.03</v>
      </c>
      <c r="J138" s="10">
        <f>SUM(J131+J132+J133)*I138</f>
        <v>174</v>
      </c>
      <c r="K138" s="67"/>
      <c r="L138" s="10">
        <f>SUM(F138+J138)</f>
        <v>391.5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23</v>
      </c>
      <c r="C139" s="66">
        <v>1</v>
      </c>
      <c r="D139" s="48">
        <v>3</v>
      </c>
      <c r="E139" s="10">
        <v>1000</v>
      </c>
      <c r="F139" s="10">
        <f t="shared" ref="F139:F148" si="10">SUM(C139*D139*E139)</f>
        <v>3000</v>
      </c>
      <c r="G139" s="67">
        <f>SUM(C139*D139*$F$4)</f>
        <v>600</v>
      </c>
      <c r="H139" s="48">
        <v>0</v>
      </c>
      <c r="I139" s="10">
        <f t="shared" si="1"/>
        <v>1000</v>
      </c>
      <c r="J139" s="10">
        <f t="shared" si="2"/>
        <v>0</v>
      </c>
      <c r="K139" s="67">
        <f t="shared" ref="K139:K143" si="11">SUM(C139*H139*$F$4)</f>
        <v>0</v>
      </c>
      <c r="L139" s="10">
        <f t="shared" ref="L139:L143" si="12">SUM(F139+G139+J139+K139)</f>
        <v>3600</v>
      </c>
      <c r="M139" s="17" t="s">
        <v>248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24</v>
      </c>
      <c r="C140" s="66">
        <v>1</v>
      </c>
      <c r="D140" s="48">
        <v>2</v>
      </c>
      <c r="E140" s="10">
        <v>600</v>
      </c>
      <c r="F140" s="10">
        <f t="shared" si="10"/>
        <v>1200</v>
      </c>
      <c r="G140" s="67">
        <f t="shared" ref="G140:G143" si="13">SUM(C140*D140*$F$4)</f>
        <v>400</v>
      </c>
      <c r="H140" s="48">
        <f t="shared" ref="H140:H146" si="14">$B$5</f>
        <v>4</v>
      </c>
      <c r="I140" s="10">
        <f t="shared" si="1"/>
        <v>600</v>
      </c>
      <c r="J140" s="10">
        <f t="shared" si="2"/>
        <v>2400</v>
      </c>
      <c r="K140" s="67">
        <f t="shared" si="11"/>
        <v>800</v>
      </c>
      <c r="L140" s="10">
        <f t="shared" si="12"/>
        <v>4800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249</v>
      </c>
      <c r="C141" s="66">
        <v>1</v>
      </c>
      <c r="D141" s="48">
        <v>3</v>
      </c>
      <c r="E141" s="10">
        <v>1000</v>
      </c>
      <c r="F141" s="10">
        <f t="shared" si="10"/>
        <v>3000</v>
      </c>
      <c r="G141" s="67">
        <f t="shared" si="13"/>
        <v>600</v>
      </c>
      <c r="H141" s="48">
        <v>0</v>
      </c>
      <c r="I141" s="10">
        <f t="shared" si="1"/>
        <v>1000</v>
      </c>
      <c r="J141" s="10">
        <f t="shared" si="2"/>
        <v>0</v>
      </c>
      <c r="K141" s="67">
        <f t="shared" si="11"/>
        <v>0</v>
      </c>
      <c r="L141" s="10">
        <f t="shared" si="12"/>
        <v>3600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250</v>
      </c>
      <c r="C142" s="66">
        <v>1</v>
      </c>
      <c r="D142" s="48">
        <v>2</v>
      </c>
      <c r="E142" s="10">
        <v>500</v>
      </c>
      <c r="F142" s="10">
        <f t="shared" si="10"/>
        <v>1000</v>
      </c>
      <c r="G142" s="67">
        <f t="shared" si="13"/>
        <v>400</v>
      </c>
      <c r="H142" s="48">
        <f t="shared" si="14"/>
        <v>4</v>
      </c>
      <c r="I142" s="10">
        <f t="shared" si="1"/>
        <v>500</v>
      </c>
      <c r="J142" s="10">
        <f t="shared" si="2"/>
        <v>2000</v>
      </c>
      <c r="K142" s="67">
        <f t="shared" si="11"/>
        <v>800</v>
      </c>
      <c r="L142" s="10">
        <f t="shared" si="12"/>
        <v>4200</v>
      </c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226</v>
      </c>
      <c r="C143" s="66">
        <v>1</v>
      </c>
      <c r="D143" s="48">
        <f t="shared" ref="D143" si="15">$B$4</f>
        <v>5</v>
      </c>
      <c r="E143" s="10">
        <v>600</v>
      </c>
      <c r="F143" s="10">
        <f t="shared" si="10"/>
        <v>3000</v>
      </c>
      <c r="G143" s="67">
        <f t="shared" si="13"/>
        <v>1000</v>
      </c>
      <c r="H143" s="48">
        <v>1</v>
      </c>
      <c r="I143" s="10">
        <f t="shared" si="1"/>
        <v>600</v>
      </c>
      <c r="J143" s="10">
        <f t="shared" si="2"/>
        <v>600</v>
      </c>
      <c r="K143" s="67">
        <f t="shared" si="11"/>
        <v>200</v>
      </c>
      <c r="L143" s="10">
        <f t="shared" si="12"/>
        <v>4800</v>
      </c>
      <c r="M143" s="17" t="s">
        <v>277</v>
      </c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146</v>
      </c>
      <c r="C144" s="66">
        <v>0</v>
      </c>
      <c r="D144" s="48">
        <v>0</v>
      </c>
      <c r="E144" s="10">
        <v>0</v>
      </c>
      <c r="F144" s="10">
        <f t="shared" si="10"/>
        <v>0</v>
      </c>
      <c r="G144" s="67">
        <f t="shared" ref="G144" si="16">SUM(C144*D144*200)</f>
        <v>0</v>
      </c>
      <c r="H144" s="48">
        <v>0</v>
      </c>
      <c r="I144" s="10">
        <f t="shared" si="1"/>
        <v>0</v>
      </c>
      <c r="J144" s="10">
        <f t="shared" si="2"/>
        <v>0</v>
      </c>
      <c r="K144" s="67">
        <f t="shared" ref="K144" si="17">SUM(C144*H144*200)</f>
        <v>0</v>
      </c>
      <c r="L144" s="10">
        <f t="shared" ref="L144:L148" si="18">SUM(G144+K144)</f>
        <v>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227</v>
      </c>
      <c r="C145" s="66">
        <v>2</v>
      </c>
      <c r="D145" s="48">
        <v>1</v>
      </c>
      <c r="E145" s="10">
        <v>500</v>
      </c>
      <c r="F145" s="39">
        <f t="shared" ref="F145:F146" si="19">SUM(C145*D145*E145)</f>
        <v>1000</v>
      </c>
      <c r="G145" s="123"/>
      <c r="H145" s="124">
        <f t="shared" si="14"/>
        <v>4</v>
      </c>
      <c r="I145" s="39">
        <f t="shared" ref="I145:I146" si="20">E145</f>
        <v>500</v>
      </c>
      <c r="J145" s="39">
        <f>SUM(C145*H145*I145)</f>
        <v>4000</v>
      </c>
      <c r="K145" s="67"/>
      <c r="L145" s="10">
        <f t="shared" ref="L145:L146" si="21">SUM(F145+G145+J145+K145)</f>
        <v>5000</v>
      </c>
      <c r="M145" s="17" t="s">
        <v>288</v>
      </c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232</v>
      </c>
      <c r="C146" s="66">
        <v>1</v>
      </c>
      <c r="D146" s="48">
        <v>1</v>
      </c>
      <c r="E146" s="10">
        <v>500</v>
      </c>
      <c r="F146" s="39">
        <f t="shared" si="19"/>
        <v>500</v>
      </c>
      <c r="G146" s="123"/>
      <c r="H146" s="124">
        <f t="shared" si="14"/>
        <v>4</v>
      </c>
      <c r="I146" s="39">
        <f t="shared" si="20"/>
        <v>500</v>
      </c>
      <c r="J146" s="39">
        <f t="shared" ref="J146" si="22">SUM(C146*H146*I146)</f>
        <v>2000</v>
      </c>
      <c r="K146" s="67"/>
      <c r="L146" s="10">
        <f t="shared" si="21"/>
        <v>2500</v>
      </c>
      <c r="M146" s="17" t="s">
        <v>289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147</v>
      </c>
      <c r="C147" s="66"/>
      <c r="D147" s="77">
        <v>0.08</v>
      </c>
      <c r="E147" s="10"/>
      <c r="F147" s="10">
        <f>SUM(F139+F140+F141+F142+F143+F145+F146)*D147</f>
        <v>1016</v>
      </c>
      <c r="G147" s="67"/>
      <c r="H147" s="48"/>
      <c r="I147" s="77">
        <v>0.05</v>
      </c>
      <c r="J147" s="10">
        <f>SUM(J139+J140++J141+J142+J143)*I147</f>
        <v>250</v>
      </c>
      <c r="K147" s="67"/>
      <c r="L147" s="10">
        <f>SUM(F147+J147)</f>
        <v>1266</v>
      </c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148</v>
      </c>
      <c r="C148" s="66"/>
      <c r="D148" s="48"/>
      <c r="E148" s="10"/>
      <c r="F148" s="10">
        <f t="shared" si="10"/>
        <v>0</v>
      </c>
      <c r="G148" s="123"/>
      <c r="H148" s="124"/>
      <c r="I148" s="39">
        <f t="shared" si="1"/>
        <v>0</v>
      </c>
      <c r="J148" s="39">
        <f t="shared" si="2"/>
        <v>0</v>
      </c>
      <c r="K148" s="123"/>
      <c r="L148" s="10">
        <f t="shared" si="18"/>
        <v>0</v>
      </c>
      <c r="M148" s="17" t="s">
        <v>185</v>
      </c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34"/>
      <c r="B149" s="13" t="s">
        <v>188</v>
      </c>
      <c r="C149" s="115">
        <f>SUM(C131:C148)</f>
        <v>12</v>
      </c>
      <c r="D149" s="10"/>
      <c r="E149" s="10">
        <v>90</v>
      </c>
      <c r="G149" s="39">
        <f>C149*E149</f>
        <v>1080</v>
      </c>
      <c r="H149" s="39"/>
      <c r="I149" s="39">
        <v>90</v>
      </c>
      <c r="J149" s="35"/>
      <c r="K149" s="123">
        <f>I149*C149</f>
        <v>1080</v>
      </c>
      <c r="L149" s="10">
        <f>SUM(K149+G149)</f>
        <v>2160</v>
      </c>
      <c r="M149" s="17" t="s">
        <v>261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34"/>
      <c r="B150" s="13" t="s">
        <v>141</v>
      </c>
      <c r="C150" s="70"/>
      <c r="D150" s="10"/>
      <c r="E150" s="10"/>
      <c r="F150" s="10"/>
      <c r="G150" s="67"/>
      <c r="H150" s="10"/>
      <c r="I150" s="10"/>
      <c r="J150" s="10"/>
      <c r="K150" s="67"/>
      <c r="L150" s="10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s="30" customFormat="1">
      <c r="A151" s="15"/>
      <c r="B151" s="96" t="s">
        <v>89</v>
      </c>
      <c r="C151" s="97"/>
      <c r="D151" s="98"/>
      <c r="E151" s="98"/>
      <c r="F151" s="98">
        <f>SUM(F131:F149)</f>
        <v>24367.666666666664</v>
      </c>
      <c r="G151" s="99">
        <f>SUM(G131:G149)</f>
        <v>8080</v>
      </c>
      <c r="H151" s="98"/>
      <c r="I151" s="98"/>
      <c r="J151" s="98">
        <f>SUM(J131:J149)</f>
        <v>19597.333333333332</v>
      </c>
      <c r="K151" s="99">
        <f>SUM(K131:K149)</f>
        <v>6080</v>
      </c>
      <c r="L151" s="98">
        <f>SUM(E151:K151)</f>
        <v>58125</v>
      </c>
      <c r="M151" s="23">
        <f>SUM(L131:L149)</f>
        <v>58125</v>
      </c>
      <c r="N151" s="23"/>
      <c r="O151" s="23"/>
      <c r="P151" s="23"/>
      <c r="Q151" s="23"/>
      <c r="R151" s="23"/>
      <c r="S151" s="23"/>
      <c r="T151" s="23"/>
      <c r="U151" s="23"/>
    </row>
    <row r="152" spans="1:21">
      <c r="A152" s="15"/>
      <c r="B152" s="16"/>
      <c r="C152" s="4"/>
      <c r="D152" s="10"/>
      <c r="E152" s="10"/>
      <c r="F152" s="10"/>
      <c r="G152" s="10"/>
      <c r="H152" s="10"/>
      <c r="I152" s="10"/>
      <c r="J152" s="10"/>
      <c r="K152" s="10"/>
      <c r="L152" s="10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>
      <c r="A153" s="15"/>
      <c r="B153" s="16" t="s">
        <v>81</v>
      </c>
      <c r="C153" s="4"/>
      <c r="D153" s="10"/>
      <c r="E153" s="10"/>
      <c r="F153" s="10"/>
      <c r="G153" s="10"/>
      <c r="H153" s="10"/>
      <c r="I153" s="10"/>
      <c r="J153" s="18"/>
      <c r="K153" s="18"/>
      <c r="L153" s="18">
        <f>SUM(L120+L151)</f>
        <v>137975</v>
      </c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ht="15.75" thickBot="1">
      <c r="A154" s="15"/>
      <c r="B154" s="16"/>
      <c r="C154" s="4"/>
      <c r="D154" s="10"/>
      <c r="E154" s="10"/>
      <c r="F154" s="10"/>
      <c r="G154" s="10"/>
      <c r="H154" s="10"/>
      <c r="I154" s="10"/>
      <c r="J154" s="10"/>
      <c r="K154" s="10"/>
      <c r="L154" s="10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5.75" thickBot="1">
      <c r="A155" s="116" t="s">
        <v>44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8"/>
      <c r="M155" s="10"/>
    </row>
    <row r="156" spans="1:2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10"/>
    </row>
    <row r="157" spans="1:21">
      <c r="A157" s="7" t="s">
        <v>42</v>
      </c>
      <c r="B157" s="8" t="s">
        <v>27</v>
      </c>
      <c r="C157" s="119" t="s">
        <v>0</v>
      </c>
      <c r="D157" s="120"/>
      <c r="E157" s="120"/>
      <c r="F157" s="120"/>
      <c r="G157" s="121"/>
      <c r="H157" s="119" t="s">
        <v>1</v>
      </c>
      <c r="I157" s="120"/>
      <c r="J157" s="120"/>
      <c r="K157" s="121"/>
      <c r="L157" s="9" t="s">
        <v>29</v>
      </c>
      <c r="M157" s="17" t="s">
        <v>228</v>
      </c>
      <c r="N157" s="17"/>
      <c r="O157" s="17"/>
      <c r="P157" s="17"/>
      <c r="Q157" s="17"/>
      <c r="R157" s="17"/>
      <c r="S157" s="17"/>
      <c r="T157" s="17"/>
      <c r="U157" s="17"/>
    </row>
    <row r="158" spans="1:21" ht="30">
      <c r="A158" s="19"/>
      <c r="B158" s="8" t="s">
        <v>229</v>
      </c>
      <c r="C158" s="64" t="s">
        <v>2</v>
      </c>
      <c r="D158" s="11" t="s">
        <v>3</v>
      </c>
      <c r="E158" s="11" t="s">
        <v>181</v>
      </c>
      <c r="F158" s="11" t="s">
        <v>180</v>
      </c>
      <c r="G158" s="65" t="s">
        <v>150</v>
      </c>
      <c r="H158" s="64" t="s">
        <v>4</v>
      </c>
      <c r="I158" s="11" t="s">
        <v>153</v>
      </c>
      <c r="J158" s="11" t="s">
        <v>152</v>
      </c>
      <c r="K158" s="65" t="s">
        <v>150</v>
      </c>
      <c r="L158" s="11" t="s">
        <v>28</v>
      </c>
      <c r="M158" s="17" t="s">
        <v>251</v>
      </c>
      <c r="N158" s="17"/>
      <c r="O158" s="17"/>
      <c r="P158" s="17"/>
      <c r="Q158" s="17"/>
      <c r="R158" s="17"/>
      <c r="S158" s="17"/>
      <c r="T158" s="17"/>
      <c r="U158" s="17"/>
    </row>
    <row r="159" spans="1:21">
      <c r="A159" s="19"/>
      <c r="B159" s="19" t="s">
        <v>5</v>
      </c>
      <c r="C159" s="84">
        <f t="shared" ref="C159" si="23">$D$4</f>
        <v>7</v>
      </c>
      <c r="D159" s="48">
        <f t="shared" ref="D159:D161" si="24">$B$4</f>
        <v>5</v>
      </c>
      <c r="E159" s="17">
        <v>500</v>
      </c>
      <c r="F159" s="17">
        <f>C159*D159*E159</f>
        <v>17500</v>
      </c>
      <c r="G159" s="80">
        <f>C159*D159*$F$4</f>
        <v>7000</v>
      </c>
      <c r="H159" s="48">
        <f t="shared" ref="H159:H161" si="25">$B$5</f>
        <v>4</v>
      </c>
      <c r="I159" s="17">
        <f>500</f>
        <v>500</v>
      </c>
      <c r="J159" s="17">
        <f>C159*H159*I159</f>
        <v>14000</v>
      </c>
      <c r="K159" s="80">
        <f>SUM(C159*H159*$F$4)</f>
        <v>5600</v>
      </c>
      <c r="L159" s="17">
        <f>SUM(F159+G159+J159+K159)</f>
        <v>44100</v>
      </c>
      <c r="M159" s="17" t="s">
        <v>231</v>
      </c>
      <c r="N159" s="17"/>
      <c r="O159" s="17"/>
      <c r="P159" s="17"/>
      <c r="Q159" s="17"/>
      <c r="R159" s="17"/>
      <c r="S159" s="17"/>
      <c r="T159" s="17"/>
      <c r="U159" s="17"/>
    </row>
    <row r="160" spans="1:21">
      <c r="A160" s="19"/>
      <c r="B160" s="19" t="s">
        <v>6</v>
      </c>
      <c r="C160" s="84">
        <v>0</v>
      </c>
      <c r="D160" s="48">
        <f t="shared" si="24"/>
        <v>5</v>
      </c>
      <c r="E160" s="17">
        <v>60</v>
      </c>
      <c r="F160" s="17">
        <f>C160*D160*E160</f>
        <v>0</v>
      </c>
      <c r="G160" s="80">
        <f t="shared" ref="G160:G161" si="26">C160*D160*200</f>
        <v>0</v>
      </c>
      <c r="H160" s="48">
        <f t="shared" si="25"/>
        <v>4</v>
      </c>
      <c r="I160" s="17">
        <v>60</v>
      </c>
      <c r="J160" s="17">
        <f t="shared" ref="J160:J161" si="27">C160*H160*I160</f>
        <v>0</v>
      </c>
      <c r="K160" s="80">
        <f t="shared" ref="K160:K161" si="28">SUM(C160*H160*I160)</f>
        <v>0</v>
      </c>
      <c r="L160" s="17" t="s">
        <v>182</v>
      </c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s="35" customFormat="1" ht="15.75" customHeight="1">
      <c r="A161" s="19"/>
      <c r="B161" s="19" t="s">
        <v>7</v>
      </c>
      <c r="C161" s="84">
        <v>1</v>
      </c>
      <c r="D161" s="124">
        <f t="shared" si="24"/>
        <v>5</v>
      </c>
      <c r="E161" s="17">
        <v>37</v>
      </c>
      <c r="F161" s="17">
        <f>C161*D161*E161</f>
        <v>185</v>
      </c>
      <c r="G161" s="80">
        <f t="shared" si="26"/>
        <v>1000</v>
      </c>
      <c r="H161" s="124">
        <f t="shared" si="25"/>
        <v>4</v>
      </c>
      <c r="I161" s="17">
        <v>37</v>
      </c>
      <c r="J161" s="17">
        <f t="shared" si="27"/>
        <v>148</v>
      </c>
      <c r="K161" s="80">
        <f t="shared" si="28"/>
        <v>148</v>
      </c>
      <c r="L161" s="17">
        <f>SUM(G161+K161)</f>
        <v>1148</v>
      </c>
      <c r="M161" s="17" t="s">
        <v>262</v>
      </c>
      <c r="N161" s="17"/>
      <c r="O161" s="17"/>
      <c r="P161" s="17"/>
      <c r="Q161" s="17"/>
      <c r="R161" s="17"/>
      <c r="S161" s="17"/>
      <c r="T161" s="17"/>
      <c r="U161" s="17"/>
    </row>
    <row r="162" spans="1:21">
      <c r="A162" s="19"/>
      <c r="B162" s="19" t="s">
        <v>8</v>
      </c>
      <c r="C162" s="84"/>
      <c r="D162" s="77">
        <v>0.08</v>
      </c>
      <c r="E162" s="55"/>
      <c r="F162" s="89">
        <f>SUM(F159+F160+F161)*D162</f>
        <v>1414.8</v>
      </c>
      <c r="G162" s="80"/>
      <c r="H162" s="79"/>
      <c r="I162" s="77">
        <v>0.05</v>
      </c>
      <c r="J162" s="55">
        <f>SUM(J159+J160+J161)*I162</f>
        <v>707.40000000000009</v>
      </c>
      <c r="K162" s="80"/>
      <c r="L162" s="17">
        <f t="shared" ref="L162:L167" si="29">SUM(F162+J162)</f>
        <v>2122.1999999999998</v>
      </c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>
      <c r="A163" s="59"/>
      <c r="B163" s="19" t="s">
        <v>10</v>
      </c>
      <c r="C163" s="84"/>
      <c r="D163" s="78">
        <v>0.13800000000000001</v>
      </c>
      <c r="E163" s="54"/>
      <c r="F163" s="60"/>
      <c r="G163" s="80"/>
      <c r="H163" s="79"/>
      <c r="I163" s="78">
        <v>0.13800000000000001</v>
      </c>
      <c r="J163" s="17"/>
      <c r="K163" s="80"/>
      <c r="L163" s="17">
        <f t="shared" si="29"/>
        <v>0</v>
      </c>
      <c r="M163" s="17" t="s">
        <v>185</v>
      </c>
      <c r="N163" s="17"/>
      <c r="O163" s="17"/>
      <c r="P163" s="17"/>
      <c r="Q163" s="17"/>
      <c r="R163" s="17"/>
      <c r="S163" s="17"/>
      <c r="T163" s="17"/>
      <c r="U163" s="17"/>
    </row>
    <row r="164" spans="1:21">
      <c r="A164" s="61"/>
      <c r="B164" s="19" t="s">
        <v>9</v>
      </c>
      <c r="C164" s="84"/>
      <c r="D164" s="87">
        <f>1/12</f>
        <v>8.3333333333333329E-2</v>
      </c>
      <c r="E164" s="62"/>
      <c r="F164" s="60">
        <f>SUM(F159:F161)*D164</f>
        <v>1473.75</v>
      </c>
      <c r="G164" s="80"/>
      <c r="H164" s="79"/>
      <c r="I164" s="87">
        <f>1/12</f>
        <v>8.3333333333333329E-2</v>
      </c>
      <c r="J164" s="17">
        <f>SUM(J159:J161)*I164</f>
        <v>1179</v>
      </c>
      <c r="K164" s="80"/>
      <c r="L164" s="17">
        <f t="shared" si="29"/>
        <v>2652.75</v>
      </c>
      <c r="N164" s="17"/>
      <c r="O164" s="17"/>
      <c r="P164" s="17"/>
      <c r="Q164" s="17"/>
      <c r="R164" s="17"/>
      <c r="S164" s="17"/>
      <c r="T164" s="17"/>
      <c r="U164" s="17"/>
    </row>
    <row r="165" spans="1:21">
      <c r="A165" s="63"/>
      <c r="B165" s="19" t="s">
        <v>202</v>
      </c>
      <c r="C165" s="84"/>
      <c r="D165" s="88">
        <v>0.03</v>
      </c>
      <c r="E165" s="17"/>
      <c r="F165" s="17">
        <f>SUM(F159+F160+F161)*D165</f>
        <v>530.54999999999995</v>
      </c>
      <c r="G165" s="80"/>
      <c r="H165" s="79"/>
      <c r="I165" s="88">
        <v>0.03</v>
      </c>
      <c r="J165" s="17">
        <f>SUM(J159:J161)*I165</f>
        <v>424.44</v>
      </c>
      <c r="K165" s="80"/>
      <c r="L165" s="17">
        <f t="shared" si="29"/>
        <v>954.99</v>
      </c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>
      <c r="A166" s="19"/>
      <c r="B166" s="19" t="s">
        <v>11</v>
      </c>
      <c r="C166" s="84">
        <f t="shared" ref="C166:C167" si="30">$D$4</f>
        <v>7</v>
      </c>
      <c r="D166" s="48">
        <v>5</v>
      </c>
      <c r="E166" s="17">
        <v>10</v>
      </c>
      <c r="F166" s="17">
        <f>C166*E166*D166</f>
        <v>350</v>
      </c>
      <c r="G166" s="80"/>
      <c r="H166" s="48">
        <f t="shared" ref="H166:H167" si="31">$B$5</f>
        <v>4</v>
      </c>
      <c r="I166" s="17">
        <v>10</v>
      </c>
      <c r="J166" s="17">
        <f>C166*I166*H166</f>
        <v>280</v>
      </c>
      <c r="K166" s="80"/>
      <c r="L166" s="17">
        <f t="shared" si="29"/>
        <v>630</v>
      </c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>
      <c r="A167" s="20"/>
      <c r="B167" s="19" t="s">
        <v>12</v>
      </c>
      <c r="C167" s="84">
        <f t="shared" si="30"/>
        <v>7</v>
      </c>
      <c r="D167" s="48"/>
      <c r="E167" s="17">
        <v>90</v>
      </c>
      <c r="F167" s="17">
        <f t="shared" ref="F167" si="32">C167*E167</f>
        <v>630</v>
      </c>
      <c r="G167" s="80"/>
      <c r="H167" s="48">
        <f t="shared" si="31"/>
        <v>4</v>
      </c>
      <c r="I167" s="17">
        <v>90</v>
      </c>
      <c r="J167" s="17">
        <f>C167*I167</f>
        <v>630</v>
      </c>
      <c r="K167" s="80"/>
      <c r="L167" s="17">
        <f t="shared" si="29"/>
        <v>1260</v>
      </c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>
      <c r="A168" s="19"/>
      <c r="B168" s="90" t="s">
        <v>204</v>
      </c>
      <c r="C168" s="91"/>
      <c r="D168" s="92"/>
      <c r="E168" s="93"/>
      <c r="F168" s="93">
        <f>SUM(F159:F167)</f>
        <v>22084.1</v>
      </c>
      <c r="G168" s="94">
        <f>SUM(G159:G167)</f>
        <v>8000</v>
      </c>
      <c r="H168" s="95"/>
      <c r="I168" s="93"/>
      <c r="J168" s="93">
        <f>SUM(J159:J167)</f>
        <v>17368.84</v>
      </c>
      <c r="K168" s="94">
        <f>SUM(K159:K167)</f>
        <v>5748</v>
      </c>
      <c r="L168" s="93">
        <f>SUM(L159:L167)</f>
        <v>52867.939999999995</v>
      </c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>
      <c r="A169" s="19"/>
      <c r="B169" s="19"/>
      <c r="C169" s="84"/>
      <c r="D169" s="55"/>
      <c r="E169" s="17"/>
      <c r="F169" s="17"/>
      <c r="G169" s="80"/>
      <c r="H169" s="56"/>
      <c r="I169" s="17"/>
      <c r="J169" s="17"/>
      <c r="K169" s="80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>
      <c r="A170" s="19"/>
      <c r="B170" s="19" t="s">
        <v>13</v>
      </c>
      <c r="C170" s="84">
        <f>$D$5</f>
        <v>4</v>
      </c>
      <c r="D170" s="48">
        <f>$B$4-2</f>
        <v>3</v>
      </c>
      <c r="E170" s="17">
        <v>500</v>
      </c>
      <c r="F170" s="17">
        <f>C170*D170*E170</f>
        <v>6000</v>
      </c>
      <c r="G170" s="80">
        <f>C170*D170*$F$4</f>
        <v>2400</v>
      </c>
      <c r="H170" s="48">
        <f t="shared" ref="H170" si="33">$B$5</f>
        <v>4</v>
      </c>
      <c r="I170" s="17">
        <v>500</v>
      </c>
      <c r="J170" s="17">
        <f>C170*H170*I170</f>
        <v>8000</v>
      </c>
      <c r="K170" s="80">
        <f>SUM(C170*H170*$F$4)</f>
        <v>3200</v>
      </c>
      <c r="L170" s="17">
        <f>SUM(F170+G170+J170+K170)</f>
        <v>19600</v>
      </c>
      <c r="M170" s="17" t="s">
        <v>218</v>
      </c>
      <c r="N170" s="17"/>
      <c r="O170" s="17"/>
      <c r="P170" s="17"/>
      <c r="Q170" s="17"/>
      <c r="R170" s="17"/>
      <c r="S170" s="17"/>
      <c r="T170" s="17"/>
      <c r="U170" s="17"/>
    </row>
    <row r="171" spans="1:21">
      <c r="A171" s="19"/>
      <c r="B171" s="19" t="s">
        <v>14</v>
      </c>
      <c r="C171" s="84"/>
      <c r="D171" s="77">
        <v>0.08</v>
      </c>
      <c r="E171" s="55"/>
      <c r="F171" s="17">
        <f>F170*D171</f>
        <v>480</v>
      </c>
      <c r="G171" s="80"/>
      <c r="H171" s="79"/>
      <c r="I171" s="77">
        <v>0.05</v>
      </c>
      <c r="J171" s="17">
        <f>J170*I171</f>
        <v>400</v>
      </c>
      <c r="K171" s="80"/>
      <c r="L171" s="17">
        <f t="shared" ref="L171:L176" si="34">SUM(F171+J171)</f>
        <v>880</v>
      </c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>
      <c r="A172" s="19"/>
      <c r="B172" s="19" t="s">
        <v>16</v>
      </c>
      <c r="C172" s="84"/>
      <c r="D172" s="78">
        <v>0.13800000000000001</v>
      </c>
      <c r="E172" s="54"/>
      <c r="F172" s="17"/>
      <c r="G172" s="80"/>
      <c r="H172" s="79"/>
      <c r="I172" s="78">
        <v>0.13800000000000001</v>
      </c>
      <c r="J172" s="17"/>
      <c r="K172" s="80"/>
      <c r="L172" s="17">
        <f t="shared" si="34"/>
        <v>0</v>
      </c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>
      <c r="A173" s="19"/>
      <c r="B173" s="19" t="s">
        <v>15</v>
      </c>
      <c r="C173" s="84"/>
      <c r="D173" s="87">
        <f>1/12</f>
        <v>8.3333333333333329E-2</v>
      </c>
      <c r="E173" s="62"/>
      <c r="F173" s="17">
        <f>F170*D173</f>
        <v>500</v>
      </c>
      <c r="G173" s="80"/>
      <c r="H173" s="79"/>
      <c r="I173" s="87">
        <f>1/12</f>
        <v>8.3333333333333329E-2</v>
      </c>
      <c r="J173" s="17">
        <f>J170*I173</f>
        <v>666.66666666666663</v>
      </c>
      <c r="K173" s="80"/>
      <c r="L173" s="17">
        <f t="shared" si="34"/>
        <v>1166.6666666666665</v>
      </c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>
      <c r="A174" s="19"/>
      <c r="B174" s="19" t="s">
        <v>203</v>
      </c>
      <c r="C174" s="84"/>
      <c r="D174" s="88">
        <v>0.03</v>
      </c>
      <c r="E174" s="17"/>
      <c r="F174" s="17">
        <f>SUM(F170*D174)</f>
        <v>180</v>
      </c>
      <c r="G174" s="80"/>
      <c r="H174" s="79"/>
      <c r="I174" s="88">
        <v>0.03</v>
      </c>
      <c r="J174" s="17">
        <f>SUM(J170*I174)</f>
        <v>240</v>
      </c>
      <c r="K174" s="80"/>
      <c r="L174" s="17">
        <f t="shared" si="34"/>
        <v>420</v>
      </c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>
      <c r="A175" s="19"/>
      <c r="B175" s="19" t="s">
        <v>17</v>
      </c>
      <c r="C175" s="84">
        <f>$D$5</f>
        <v>4</v>
      </c>
      <c r="D175" s="48"/>
      <c r="E175" s="17">
        <v>90</v>
      </c>
      <c r="F175" s="17">
        <f t="shared" ref="F175:F176" si="35">C175*E175</f>
        <v>360</v>
      </c>
      <c r="G175" s="80"/>
      <c r="H175" s="48">
        <f t="shared" ref="H175:H176" si="36">$B$5</f>
        <v>4</v>
      </c>
      <c r="I175" s="17">
        <v>90</v>
      </c>
      <c r="J175" s="17">
        <f t="shared" ref="J175" si="37">C175*I175</f>
        <v>360</v>
      </c>
      <c r="K175" s="80"/>
      <c r="L175" s="17">
        <f t="shared" si="34"/>
        <v>720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>
      <c r="A176" s="21"/>
      <c r="B176" s="19" t="s">
        <v>18</v>
      </c>
      <c r="C176" s="84">
        <f>$D$5</f>
        <v>4</v>
      </c>
      <c r="D176" s="55"/>
      <c r="E176" s="17">
        <v>50</v>
      </c>
      <c r="F176" s="17">
        <f t="shared" si="35"/>
        <v>200</v>
      </c>
      <c r="G176" s="80"/>
      <c r="H176" s="48">
        <f t="shared" si="36"/>
        <v>4</v>
      </c>
      <c r="I176" s="17">
        <v>50</v>
      </c>
      <c r="J176" s="17">
        <f>I176*H176</f>
        <v>200</v>
      </c>
      <c r="K176" s="80"/>
      <c r="L176" s="17">
        <f t="shared" si="34"/>
        <v>400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>
      <c r="A177" s="22"/>
      <c r="B177" s="90" t="s">
        <v>19</v>
      </c>
      <c r="C177" s="91"/>
      <c r="D177" s="92"/>
      <c r="E177" s="93"/>
      <c r="F177" s="93">
        <f>SUM(F170:F176)</f>
        <v>7720</v>
      </c>
      <c r="G177" s="94">
        <f>SUM(G170:G175)</f>
        <v>2400</v>
      </c>
      <c r="H177" s="95"/>
      <c r="I177" s="93"/>
      <c r="J177" s="93">
        <f>SUM(J170:J176)</f>
        <v>9866.6666666666661</v>
      </c>
      <c r="K177" s="94">
        <f>SUM(K170:K176)</f>
        <v>3200</v>
      </c>
      <c r="L177" s="93">
        <f>SUM(L170:L176)</f>
        <v>23186.666666666668</v>
      </c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>
      <c r="A178" s="12"/>
      <c r="B178" s="12" t="s">
        <v>89</v>
      </c>
      <c r="C178" s="85"/>
      <c r="D178" s="86"/>
      <c r="E178" s="82"/>
      <c r="F178" s="83">
        <f>SUM(F168+F177)</f>
        <v>29804.1</v>
      </c>
      <c r="G178" s="83">
        <f>SUM(G168+G177)</f>
        <v>10400</v>
      </c>
      <c r="H178" s="81"/>
      <c r="I178" s="82"/>
      <c r="J178" s="83">
        <f>SUM(J168+J177)</f>
        <v>27235.506666666668</v>
      </c>
      <c r="K178" s="83">
        <f>SUM(K168+K177)</f>
        <v>8948</v>
      </c>
      <c r="L178" s="23">
        <f>SUM(F178:K178)</f>
        <v>76387.606666666659</v>
      </c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>
      <c r="A179" s="12"/>
      <c r="B179" s="12"/>
      <c r="C179" s="12"/>
      <c r="D179" s="23"/>
      <c r="E179" s="23"/>
      <c r="F179" s="23"/>
      <c r="G179" s="23"/>
      <c r="H179" s="23"/>
      <c r="I179" s="23"/>
      <c r="J179" s="23"/>
      <c r="K179" s="23"/>
      <c r="L179" s="23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>
      <c r="A180" s="12"/>
      <c r="B180" s="12" t="s">
        <v>177</v>
      </c>
      <c r="C180" s="12"/>
      <c r="D180" s="23"/>
      <c r="E180" s="23"/>
      <c r="F180" s="23"/>
      <c r="G180" s="23"/>
      <c r="H180" s="23"/>
      <c r="I180" s="23"/>
      <c r="J180" s="23"/>
      <c r="K180" s="23"/>
      <c r="L180" s="23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>
      <c r="A181" s="12"/>
      <c r="B181" s="12" t="s">
        <v>89</v>
      </c>
      <c r="C181" s="12"/>
      <c r="D181" s="23"/>
      <c r="E181" s="23"/>
      <c r="F181" s="23"/>
      <c r="G181" s="23"/>
      <c r="H181" s="23"/>
      <c r="I181" s="23"/>
      <c r="J181" s="23"/>
      <c r="K181" s="23"/>
      <c r="L181" s="23">
        <f>SUM(L180:L180)</f>
        <v>0</v>
      </c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>
      <c r="A183" s="12"/>
      <c r="B183" s="12" t="s">
        <v>178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>
      <c r="A184" s="12"/>
      <c r="B184" s="12" t="s">
        <v>89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>
      <c r="A186" s="12"/>
      <c r="B186" s="12" t="s">
        <v>179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23">
        <f>SUM(L177+L168)</f>
        <v>76054.606666666659</v>
      </c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ht="15.75" customHeight="1" thickBot="1">
      <c r="A187" s="22"/>
      <c r="B187" s="24"/>
      <c r="C187" s="24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6.5" customHeight="1" thickBot="1">
      <c r="A188" s="116" t="s">
        <v>79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8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6.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s="35" customFormat="1" ht="16.5" customHeight="1">
      <c r="A190" s="40"/>
      <c r="B190" s="32" t="s">
        <v>69</v>
      </c>
      <c r="C190" s="40"/>
      <c r="D190" s="40"/>
      <c r="E190" s="40"/>
      <c r="F190" s="40"/>
      <c r="G190" s="40"/>
      <c r="H190" s="40"/>
      <c r="I190" s="40"/>
      <c r="J190" s="40"/>
      <c r="K190" s="40"/>
      <c r="L190" s="38">
        <v>2000</v>
      </c>
      <c r="M190" s="17" t="s">
        <v>285</v>
      </c>
      <c r="N190" s="17"/>
      <c r="O190" s="17"/>
      <c r="P190" s="17"/>
      <c r="Q190" s="17"/>
      <c r="R190" s="17"/>
      <c r="S190" s="17"/>
      <c r="T190" s="17"/>
      <c r="U190" s="17"/>
    </row>
    <row r="191" spans="1:21" s="35" customFormat="1" ht="16.5" customHeight="1">
      <c r="A191" s="40"/>
      <c r="B191" s="3" t="s">
        <v>89</v>
      </c>
      <c r="C191" s="40"/>
      <c r="D191" s="40"/>
      <c r="E191" s="40"/>
      <c r="F191" s="40"/>
      <c r="G191" s="40"/>
      <c r="H191" s="40"/>
      <c r="I191" s="40"/>
      <c r="J191" s="40"/>
      <c r="L191" s="40">
        <f>SUM(L190)</f>
        <v>2000</v>
      </c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s="35" customFormat="1" ht="16.5" customHeight="1">
      <c r="A192" s="40"/>
      <c r="B192" s="3"/>
      <c r="C192" s="40"/>
      <c r="D192" s="40"/>
      <c r="E192" s="40"/>
      <c r="F192" s="40"/>
      <c r="G192" s="40"/>
      <c r="H192" s="40"/>
      <c r="I192" s="40"/>
      <c r="J192" s="40"/>
      <c r="L192" s="40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35" customFormat="1" ht="16.5" customHeight="1">
      <c r="A193" s="40"/>
      <c r="B193" s="3" t="s">
        <v>93</v>
      </c>
      <c r="C193" s="40"/>
      <c r="D193" s="40"/>
      <c r="E193" s="40"/>
      <c r="F193" s="40"/>
      <c r="G193" s="40"/>
      <c r="H193" s="40"/>
      <c r="I193" s="40"/>
      <c r="J193" s="40"/>
      <c r="L193" s="40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s="35" customFormat="1" ht="16.5" customHeight="1">
      <c r="A194" s="40"/>
      <c r="B194" s="32" t="s">
        <v>94</v>
      </c>
      <c r="C194" s="40"/>
      <c r="D194" s="40"/>
      <c r="E194" s="40"/>
      <c r="F194" s="40"/>
      <c r="G194" s="40"/>
      <c r="H194" s="40"/>
      <c r="I194" s="40"/>
      <c r="J194" s="40"/>
      <c r="L194" s="38">
        <v>250</v>
      </c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35" customFormat="1" ht="16.5" customHeight="1">
      <c r="A195" s="40"/>
      <c r="B195" s="32" t="s">
        <v>215</v>
      </c>
      <c r="C195" s="40"/>
      <c r="D195" s="40"/>
      <c r="E195" s="40"/>
      <c r="F195" s="40"/>
      <c r="G195" s="40"/>
      <c r="H195" s="40"/>
      <c r="I195" s="40"/>
      <c r="J195" s="40"/>
      <c r="L195" s="38">
        <v>1000</v>
      </c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35" customFormat="1" ht="16.5" customHeight="1">
      <c r="A196" s="40"/>
      <c r="B196" s="3" t="s">
        <v>89</v>
      </c>
      <c r="C196" s="40"/>
      <c r="D196" s="40"/>
      <c r="E196" s="40"/>
      <c r="F196" s="40"/>
      <c r="G196" s="40"/>
      <c r="H196" s="40"/>
      <c r="I196" s="40"/>
      <c r="J196" s="40"/>
      <c r="L196" s="40">
        <f>SUM(L194:L195)</f>
        <v>1250</v>
      </c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35" customFormat="1" ht="16.5" customHeight="1">
      <c r="A197" s="40"/>
      <c r="B197" s="3"/>
      <c r="C197" s="40"/>
      <c r="D197" s="40"/>
      <c r="E197" s="40"/>
      <c r="F197" s="40"/>
      <c r="G197" s="40"/>
      <c r="H197" s="40"/>
      <c r="I197" s="40"/>
      <c r="J197" s="40"/>
      <c r="L197" s="40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35" customFormat="1" ht="16.5" customHeight="1">
      <c r="A198" s="40"/>
      <c r="B198" s="3" t="s">
        <v>95</v>
      </c>
      <c r="C198" s="40"/>
      <c r="D198" s="40"/>
      <c r="E198" s="40"/>
      <c r="F198" s="40"/>
      <c r="G198" s="40"/>
      <c r="H198" s="40"/>
      <c r="I198" s="40"/>
      <c r="J198" s="40"/>
      <c r="L198" s="40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35" customFormat="1" ht="16.5" customHeight="1">
      <c r="A199" s="40"/>
      <c r="B199" s="32" t="s">
        <v>96</v>
      </c>
      <c r="C199" s="40"/>
      <c r="D199" s="40"/>
      <c r="E199" s="40"/>
      <c r="F199" s="40"/>
      <c r="G199" s="40"/>
      <c r="H199" s="40"/>
      <c r="I199" s="40"/>
      <c r="J199" s="40"/>
      <c r="L199" s="38">
        <v>1000</v>
      </c>
      <c r="M199" s="17" t="s">
        <v>263</v>
      </c>
      <c r="N199" s="17"/>
      <c r="O199" s="17"/>
      <c r="P199" s="17"/>
      <c r="Q199" s="17"/>
      <c r="R199" s="17"/>
      <c r="S199" s="17"/>
      <c r="T199" s="17"/>
      <c r="U199" s="17"/>
    </row>
    <row r="200" spans="1:21" s="35" customFormat="1" ht="16.5" customHeight="1">
      <c r="A200" s="40"/>
      <c r="B200" s="3" t="s">
        <v>89</v>
      </c>
      <c r="C200" s="40"/>
      <c r="D200" s="40"/>
      <c r="E200" s="40"/>
      <c r="F200" s="40"/>
      <c r="G200" s="40"/>
      <c r="H200" s="40"/>
      <c r="I200" s="40"/>
      <c r="J200" s="40"/>
      <c r="L200" s="40">
        <f>L199</f>
        <v>1000</v>
      </c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35" customFormat="1" ht="16.5" customHeight="1">
      <c r="A201" s="40"/>
      <c r="B201" s="3"/>
      <c r="C201" s="40"/>
      <c r="D201" s="40"/>
      <c r="E201" s="40"/>
      <c r="F201" s="40"/>
      <c r="G201" s="40"/>
      <c r="H201" s="40"/>
      <c r="I201" s="40"/>
      <c r="J201" s="40"/>
      <c r="L201" s="4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35" customFormat="1" ht="16.5" customHeight="1">
      <c r="A202" s="40"/>
      <c r="B202" s="3" t="s">
        <v>97</v>
      </c>
      <c r="C202" s="40"/>
      <c r="D202" s="40"/>
      <c r="E202" s="40"/>
      <c r="F202" s="40"/>
      <c r="G202" s="40"/>
      <c r="H202" s="40"/>
      <c r="I202" s="40"/>
      <c r="J202" s="40"/>
      <c r="L202" s="38">
        <v>500</v>
      </c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35" customFormat="1" ht="16.5" customHeight="1">
      <c r="A203" s="40"/>
      <c r="B203" s="3" t="s">
        <v>89</v>
      </c>
      <c r="C203" s="40"/>
      <c r="D203" s="40"/>
      <c r="E203" s="40"/>
      <c r="F203" s="40"/>
      <c r="G203" s="40"/>
      <c r="H203" s="40"/>
      <c r="I203" s="40"/>
      <c r="J203" s="40"/>
      <c r="L203" s="40">
        <f>L202</f>
        <v>500</v>
      </c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35" customFormat="1" ht="16.5" customHeight="1">
      <c r="A204" s="40"/>
      <c r="B204" s="3"/>
      <c r="C204" s="40"/>
      <c r="D204" s="40"/>
      <c r="E204" s="40"/>
      <c r="F204" s="40"/>
      <c r="G204" s="40"/>
      <c r="H204" s="40"/>
      <c r="I204" s="40"/>
      <c r="J204" s="40"/>
      <c r="L204" s="40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35" customFormat="1" ht="16.5" customHeight="1">
      <c r="A205" s="40"/>
      <c r="B205" s="3" t="s">
        <v>98</v>
      </c>
      <c r="C205" s="40"/>
      <c r="D205" s="40"/>
      <c r="E205" s="40"/>
      <c r="F205" s="40"/>
      <c r="G205" s="40"/>
      <c r="H205" s="40"/>
      <c r="I205" s="40"/>
      <c r="J205" s="40"/>
      <c r="L205" s="40">
        <f>SUM(L191+L196+L200+L203)</f>
        <v>4750</v>
      </c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35" customFormat="1" ht="16.5" customHeight="1">
      <c r="A206" s="40"/>
      <c r="B206" s="3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35" customFormat="1" ht="15.75" thickBot="1">
      <c r="A207" s="3"/>
      <c r="B207" s="19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ht="15.75" thickBot="1">
      <c r="A208" s="116" t="s">
        <v>80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8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>
      <c r="B210" s="30" t="s">
        <v>194</v>
      </c>
    </row>
    <row r="211" spans="1:21">
      <c r="A211" s="6"/>
      <c r="B211" s="19" t="s">
        <v>45</v>
      </c>
      <c r="C211" s="17"/>
      <c r="D211" s="17"/>
      <c r="E211" s="17"/>
      <c r="F211" s="17"/>
      <c r="G211" s="17"/>
      <c r="H211" s="17"/>
      <c r="I211" s="17"/>
      <c r="J211" s="17"/>
      <c r="L211" s="17">
        <v>2000</v>
      </c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>
      <c r="A212" s="6"/>
      <c r="B212" s="19" t="s">
        <v>46</v>
      </c>
      <c r="C212" s="17"/>
      <c r="D212" s="17"/>
      <c r="E212" s="17"/>
      <c r="F212" s="17"/>
      <c r="G212" s="17"/>
      <c r="H212" s="17"/>
      <c r="I212" s="17"/>
      <c r="J212" s="17"/>
      <c r="L212" s="17">
        <v>10000</v>
      </c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>
      <c r="A213" s="6"/>
      <c r="B213" s="19" t="s">
        <v>47</v>
      </c>
      <c r="C213" s="17" t="s">
        <v>48</v>
      </c>
      <c r="D213" s="17"/>
      <c r="E213" s="17"/>
      <c r="F213" s="17"/>
      <c r="G213" s="17"/>
      <c r="H213" s="17"/>
      <c r="I213" s="17"/>
      <c r="J213" s="17"/>
      <c r="L213" s="17">
        <v>10000</v>
      </c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>
      <c r="A214" s="6"/>
      <c r="B214" s="19" t="s">
        <v>195</v>
      </c>
      <c r="C214" s="17" t="s">
        <v>211</v>
      </c>
      <c r="D214" s="17"/>
      <c r="E214" s="17"/>
      <c r="F214" s="17"/>
      <c r="G214" s="17"/>
      <c r="H214" s="17"/>
      <c r="I214" s="17"/>
      <c r="J214" s="17"/>
      <c r="L214" s="17">
        <v>15000</v>
      </c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>
      <c r="A215" s="6"/>
      <c r="B215" s="19" t="s">
        <v>49</v>
      </c>
      <c r="C215" s="17"/>
      <c r="D215" s="17"/>
      <c r="E215" s="17"/>
      <c r="F215" s="17"/>
      <c r="G215" s="17"/>
      <c r="H215" s="17"/>
      <c r="I215" s="17"/>
      <c r="J215" s="17"/>
      <c r="L215" s="17">
        <v>2000</v>
      </c>
      <c r="M215" s="17" t="s">
        <v>264</v>
      </c>
      <c r="N215" s="17"/>
      <c r="O215" s="17"/>
      <c r="P215" s="17"/>
      <c r="Q215" s="17"/>
      <c r="R215" s="17"/>
      <c r="S215" s="17"/>
      <c r="T215" s="17"/>
      <c r="U215" s="17"/>
    </row>
    <row r="216" spans="1:21">
      <c r="A216" s="6"/>
      <c r="B216" s="25" t="s">
        <v>89</v>
      </c>
      <c r="C216" s="17"/>
      <c r="D216" s="17"/>
      <c r="E216" s="17"/>
      <c r="F216" s="17"/>
      <c r="G216" s="17"/>
      <c r="H216" s="17"/>
      <c r="I216" s="17"/>
      <c r="J216" s="17"/>
      <c r="L216" s="23">
        <f>SUM(L211:L215)</f>
        <v>39000</v>
      </c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>
      <c r="A217" s="6"/>
      <c r="B217" s="19"/>
      <c r="C217" s="17"/>
      <c r="D217" s="17"/>
      <c r="E217" s="17"/>
      <c r="F217" s="17"/>
      <c r="G217" s="17"/>
      <c r="H217" s="17"/>
      <c r="I217" s="17"/>
      <c r="J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>
      <c r="A218" s="4"/>
      <c r="B218" s="8" t="s">
        <v>50</v>
      </c>
      <c r="C218" s="7"/>
      <c r="E218" s="7"/>
      <c r="F218" s="7"/>
      <c r="G218" s="7"/>
      <c r="H218" s="7"/>
      <c r="I218" s="7"/>
      <c r="J218" s="7"/>
      <c r="L218" s="12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6"/>
      <c r="B219" s="19" t="s">
        <v>51</v>
      </c>
      <c r="C219" s="17"/>
      <c r="D219" s="17"/>
      <c r="E219" s="17"/>
      <c r="F219" s="17"/>
      <c r="G219" s="17"/>
      <c r="H219" s="17"/>
      <c r="I219" s="17"/>
      <c r="J219" s="17"/>
      <c r="L219" s="17">
        <v>8000</v>
      </c>
      <c r="M219" s="17" t="s">
        <v>265</v>
      </c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19" t="s">
        <v>52</v>
      </c>
      <c r="C220" s="73">
        <v>50</v>
      </c>
      <c r="D220" s="2" t="s">
        <v>191</v>
      </c>
      <c r="E220" s="28"/>
      <c r="F220" s="28"/>
      <c r="G220" s="28"/>
      <c r="H220" s="28"/>
      <c r="I220" s="28"/>
      <c r="J220" s="28"/>
      <c r="L220" s="29">
        <v>400</v>
      </c>
      <c r="M220" s="17" t="s">
        <v>266</v>
      </c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6"/>
      <c r="B221" s="25" t="s">
        <v>90</v>
      </c>
      <c r="C221" s="17"/>
      <c r="D221" s="17"/>
      <c r="E221" s="17"/>
      <c r="F221" s="17"/>
      <c r="G221" s="17"/>
      <c r="H221" s="17"/>
      <c r="I221" s="17"/>
      <c r="J221" s="17"/>
      <c r="L221" s="23">
        <f>SUM(L219:L220)</f>
        <v>8400</v>
      </c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6"/>
      <c r="B222" s="19"/>
      <c r="C222" s="17"/>
      <c r="D222" s="17"/>
      <c r="E222" s="17"/>
      <c r="F222" s="17"/>
      <c r="G222" s="17"/>
      <c r="H222" s="17"/>
      <c r="I222" s="17"/>
      <c r="J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4"/>
      <c r="B223" s="8" t="s">
        <v>222</v>
      </c>
      <c r="C223" s="7"/>
      <c r="E223" s="7"/>
      <c r="F223" s="7"/>
      <c r="G223" s="7"/>
      <c r="H223" s="7"/>
      <c r="I223" s="7"/>
      <c r="J223" s="7"/>
      <c r="L223" s="12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6"/>
      <c r="B224" s="19" t="s">
        <v>53</v>
      </c>
      <c r="C224" s="17"/>
      <c r="D224" s="17"/>
      <c r="E224" s="17"/>
      <c r="F224" s="17"/>
      <c r="G224" s="17"/>
      <c r="H224" s="17"/>
      <c r="I224" s="17"/>
      <c r="J224" s="17"/>
      <c r="L224" s="17">
        <v>7000</v>
      </c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19" t="s">
        <v>54</v>
      </c>
      <c r="C225" s="73">
        <v>50</v>
      </c>
      <c r="D225" s="2" t="s">
        <v>191</v>
      </c>
      <c r="E225" s="28"/>
      <c r="F225" s="28"/>
      <c r="G225" s="28"/>
      <c r="H225" s="28"/>
      <c r="I225" s="28"/>
      <c r="J225" s="28"/>
      <c r="L225" s="29">
        <f>C225*($B$5)+1000</f>
        <v>1200</v>
      </c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6"/>
      <c r="B226" s="25" t="s">
        <v>90</v>
      </c>
      <c r="C226" s="23"/>
      <c r="D226" s="23"/>
      <c r="E226" s="23"/>
      <c r="F226" s="23"/>
      <c r="G226" s="23"/>
      <c r="H226" s="23"/>
      <c r="I226" s="23"/>
      <c r="J226" s="23"/>
      <c r="L226" s="23">
        <f>SUM(L224:L225)</f>
        <v>8200</v>
      </c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6"/>
      <c r="B227" s="19"/>
      <c r="C227" s="17"/>
      <c r="D227" s="17"/>
      <c r="E227" s="17"/>
      <c r="F227" s="17"/>
      <c r="G227" s="17"/>
      <c r="H227" s="17"/>
      <c r="I227" s="17"/>
      <c r="J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4"/>
      <c r="B228" s="8" t="s">
        <v>206</v>
      </c>
      <c r="C228" s="7"/>
      <c r="E228" s="7"/>
      <c r="F228" s="7"/>
      <c r="G228" s="7"/>
      <c r="H228" s="7"/>
      <c r="I228" s="7"/>
      <c r="J228" s="7"/>
      <c r="L228" s="12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26"/>
      <c r="B229" s="27" t="s">
        <v>55</v>
      </c>
      <c r="C229" s="28"/>
      <c r="E229" s="28"/>
      <c r="F229" s="28"/>
      <c r="G229" s="28"/>
      <c r="H229" s="28"/>
      <c r="I229" s="28"/>
      <c r="J229" s="28"/>
      <c r="L229" s="29">
        <v>1000</v>
      </c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26"/>
      <c r="B230" s="27" t="s">
        <v>212</v>
      </c>
      <c r="C230" s="73">
        <v>1000</v>
      </c>
      <c r="D230" s="2" t="s">
        <v>192</v>
      </c>
      <c r="E230" s="28"/>
      <c r="F230" s="28"/>
      <c r="G230" s="28"/>
      <c r="H230" s="28"/>
      <c r="I230" s="28"/>
      <c r="J230" s="28"/>
      <c r="L230" s="29">
        <v>4000</v>
      </c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26"/>
      <c r="B231" s="8" t="s">
        <v>89</v>
      </c>
      <c r="C231" s="7"/>
      <c r="D231" s="30"/>
      <c r="E231" s="7"/>
      <c r="F231" s="7"/>
      <c r="G231" s="7"/>
      <c r="H231" s="7"/>
      <c r="I231" s="7"/>
      <c r="J231" s="7"/>
      <c r="L231" s="12">
        <f>SUM(L229:L230)</f>
        <v>5000</v>
      </c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4"/>
      <c r="B232" s="8"/>
      <c r="C232" s="7"/>
      <c r="E232" s="7"/>
      <c r="F232" s="7"/>
      <c r="G232" s="7"/>
      <c r="H232" s="7"/>
      <c r="I232" s="7"/>
      <c r="J232" s="7"/>
      <c r="L232" s="12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4"/>
      <c r="B233" s="8" t="s">
        <v>193</v>
      </c>
      <c r="C233" s="7"/>
      <c r="E233" s="7"/>
      <c r="F233" s="7"/>
      <c r="G233" s="7"/>
      <c r="H233" s="7"/>
      <c r="I233" s="7"/>
      <c r="J233" s="7"/>
      <c r="L233" s="12"/>
      <c r="M233" s="17" t="s">
        <v>267</v>
      </c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4"/>
      <c r="B234" s="27" t="s">
        <v>56</v>
      </c>
      <c r="C234" s="28"/>
      <c r="E234" s="28"/>
      <c r="F234" s="28"/>
      <c r="G234" s="28"/>
      <c r="H234" s="28"/>
      <c r="I234" s="28"/>
      <c r="J234" s="28"/>
      <c r="L234" s="29">
        <v>1000</v>
      </c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4"/>
      <c r="B235" s="27" t="s">
        <v>233</v>
      </c>
      <c r="C235" s="28"/>
      <c r="E235" s="28"/>
      <c r="F235" s="28"/>
      <c r="G235" s="28"/>
      <c r="H235" s="28"/>
      <c r="I235" s="28"/>
      <c r="J235" s="28"/>
      <c r="L235" s="29">
        <v>500</v>
      </c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27" t="s">
        <v>57</v>
      </c>
      <c r="C236" s="73">
        <v>2000</v>
      </c>
      <c r="D236" s="2" t="s">
        <v>192</v>
      </c>
      <c r="E236" s="28"/>
      <c r="F236" s="28"/>
      <c r="G236" s="28"/>
      <c r="H236" s="28"/>
      <c r="I236" s="28"/>
      <c r="J236" s="28"/>
      <c r="L236" s="29">
        <f>C236*($B$5+1)</f>
        <v>10000</v>
      </c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8" t="s">
        <v>90</v>
      </c>
      <c r="C237" s="7"/>
      <c r="D237" s="30"/>
      <c r="E237" s="7"/>
      <c r="F237" s="7"/>
      <c r="G237" s="7"/>
      <c r="H237" s="7"/>
      <c r="I237" s="7"/>
      <c r="J237" s="7"/>
      <c r="L237" s="12">
        <f>SUM(L234:L236)</f>
        <v>11500</v>
      </c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8"/>
      <c r="C238" s="7"/>
      <c r="E238" s="7"/>
      <c r="F238" s="7"/>
      <c r="G238" s="7"/>
      <c r="H238" s="7"/>
      <c r="I238" s="7"/>
      <c r="J238" s="7"/>
      <c r="L238" s="12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4"/>
      <c r="B239" s="8" t="s">
        <v>58</v>
      </c>
      <c r="C239" s="7"/>
      <c r="E239" s="7"/>
      <c r="F239" s="7"/>
      <c r="G239" s="7"/>
      <c r="H239" s="7"/>
      <c r="I239" s="7"/>
      <c r="J239" s="7"/>
      <c r="L239" s="12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8" t="s">
        <v>89</v>
      </c>
      <c r="C240" s="7"/>
      <c r="E240" s="7"/>
      <c r="F240" s="7"/>
      <c r="G240" s="7"/>
      <c r="H240" s="7"/>
      <c r="I240" s="7"/>
      <c r="J240" s="7"/>
      <c r="L240" s="12">
        <f>SUM(L239:L239)</f>
        <v>0</v>
      </c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4"/>
      <c r="B241" s="8"/>
      <c r="C241" s="7"/>
      <c r="E241" s="7"/>
      <c r="F241" s="7"/>
      <c r="G241" s="7"/>
      <c r="H241" s="7"/>
      <c r="I241" s="7"/>
      <c r="J241" s="7"/>
      <c r="L241" s="12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4"/>
      <c r="B242" s="8" t="s">
        <v>59</v>
      </c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89</v>
      </c>
      <c r="C243" s="7"/>
      <c r="E243" s="7"/>
      <c r="F243" s="7"/>
      <c r="G243" s="7"/>
      <c r="H243" s="7"/>
      <c r="I243" s="7"/>
      <c r="J243" s="7"/>
      <c r="L243" s="12">
        <f>SUM(L242:L242)</f>
        <v>0</v>
      </c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/>
      <c r="C244" s="7"/>
      <c r="E244" s="7"/>
      <c r="F244" s="7"/>
      <c r="G244" s="7"/>
      <c r="H244" s="7"/>
      <c r="I244" s="7"/>
      <c r="J244" s="7"/>
      <c r="L244" s="12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 t="s">
        <v>60</v>
      </c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89</v>
      </c>
      <c r="C246" s="7"/>
      <c r="E246" s="7"/>
      <c r="F246" s="7"/>
      <c r="G246" s="7"/>
      <c r="H246" s="7"/>
      <c r="I246" s="7"/>
      <c r="J246" s="7"/>
      <c r="L246" s="12">
        <f>SUM(L245:L245)</f>
        <v>0</v>
      </c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/>
      <c r="C247" s="7"/>
      <c r="E247" s="7"/>
      <c r="F247" s="7"/>
      <c r="G247" s="7"/>
      <c r="H247" s="7"/>
      <c r="I247" s="7"/>
      <c r="J247" s="7"/>
      <c r="L247" s="12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ht="16.5" customHeight="1">
      <c r="A248" s="26"/>
      <c r="B248" s="8" t="s">
        <v>183</v>
      </c>
      <c r="C248" s="28"/>
      <c r="E248" s="28"/>
      <c r="F248" s="28"/>
      <c r="G248" s="28"/>
      <c r="H248" s="28"/>
      <c r="I248" s="28"/>
      <c r="J248" s="28"/>
      <c r="L248" s="12">
        <f>SUM(L216+L221+L226+L231+L237+L240+L243+L246)</f>
        <v>72100</v>
      </c>
      <c r="M248" s="17" t="s">
        <v>230</v>
      </c>
      <c r="N248" s="17"/>
      <c r="O248" s="17"/>
      <c r="P248" s="17"/>
      <c r="Q248" s="17"/>
      <c r="R248" s="17"/>
      <c r="S248" s="17"/>
      <c r="T248" s="17"/>
      <c r="U248" s="17"/>
    </row>
    <row r="249" spans="1:21" ht="16.5" customHeight="1" thickBot="1">
      <c r="A249" s="6"/>
      <c r="B249" s="19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ht="15.75" thickBot="1">
      <c r="A250" s="116" t="s">
        <v>67</v>
      </c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8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>
      <c r="A252" s="31"/>
      <c r="B252" s="3" t="s">
        <v>71</v>
      </c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>
      <c r="A253" s="6"/>
      <c r="B253" s="19" t="s">
        <v>68</v>
      </c>
      <c r="C253" s="17"/>
      <c r="D253" s="17"/>
      <c r="E253" s="17"/>
      <c r="F253" s="17"/>
      <c r="G253" s="17"/>
      <c r="H253" s="17"/>
      <c r="I253" s="17"/>
      <c r="J253" s="17"/>
      <c r="L253" s="17">
        <v>1000</v>
      </c>
      <c r="M253" s="17" t="s">
        <v>268</v>
      </c>
      <c r="N253" s="17"/>
      <c r="O253" s="17"/>
      <c r="P253" s="17"/>
      <c r="Q253" s="17"/>
      <c r="R253" s="17"/>
      <c r="S253" s="17"/>
      <c r="T253" s="17"/>
      <c r="U253" s="17"/>
    </row>
    <row r="254" spans="1:21">
      <c r="A254" s="6"/>
      <c r="B254" s="19" t="s">
        <v>70</v>
      </c>
      <c r="C254" s="17"/>
      <c r="D254" s="17"/>
      <c r="E254" s="17"/>
      <c r="F254" s="17"/>
      <c r="G254" s="17"/>
      <c r="H254" s="17"/>
      <c r="I254" s="17"/>
      <c r="J254" s="17"/>
      <c r="L254" s="17">
        <v>4000</v>
      </c>
      <c r="M254" s="17" t="s">
        <v>290</v>
      </c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6"/>
      <c r="B255" s="25" t="s">
        <v>89</v>
      </c>
      <c r="C255" s="23"/>
      <c r="D255" s="23"/>
      <c r="E255" s="23"/>
      <c r="F255" s="23"/>
      <c r="G255" s="23"/>
      <c r="H255" s="23"/>
      <c r="I255" s="23"/>
      <c r="J255" s="23"/>
      <c r="L255" s="23">
        <f>SUM(L253:L254)</f>
        <v>5000</v>
      </c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6"/>
      <c r="B256" s="25"/>
      <c r="C256" s="23"/>
      <c r="D256" s="23"/>
      <c r="E256" s="23"/>
      <c r="F256" s="23"/>
      <c r="G256" s="23"/>
      <c r="H256" s="23"/>
      <c r="I256" s="23"/>
      <c r="J256" s="23"/>
      <c r="L256" s="23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19" t="s">
        <v>72</v>
      </c>
      <c r="C257" s="17"/>
      <c r="D257" s="17"/>
      <c r="E257" s="17"/>
      <c r="F257" s="17"/>
      <c r="G257" s="17"/>
      <c r="H257" s="17"/>
      <c r="I257" s="17"/>
      <c r="J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25" t="s">
        <v>89</v>
      </c>
      <c r="C258" s="17"/>
      <c r="D258" s="17"/>
      <c r="E258" s="17"/>
      <c r="F258" s="17"/>
      <c r="G258" s="17"/>
      <c r="H258" s="17"/>
      <c r="I258" s="17"/>
      <c r="J258" s="17"/>
      <c r="L258" s="17">
        <f>SUM(L257:L257)</f>
        <v>0</v>
      </c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19"/>
      <c r="C259" s="17"/>
      <c r="D259" s="17"/>
      <c r="E259" s="17"/>
      <c r="F259" s="17"/>
      <c r="G259" s="17"/>
      <c r="H259" s="17"/>
      <c r="I259" s="17"/>
      <c r="J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19" t="s">
        <v>73</v>
      </c>
      <c r="C260" s="17"/>
      <c r="D260" s="17"/>
      <c r="E260" s="17"/>
      <c r="F260" s="17"/>
      <c r="G260" s="17"/>
      <c r="H260" s="17"/>
      <c r="I260" s="17"/>
      <c r="J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25" t="s">
        <v>89</v>
      </c>
      <c r="C261" s="17"/>
      <c r="D261" s="17"/>
      <c r="E261" s="17"/>
      <c r="F261" s="17"/>
      <c r="G261" s="17"/>
      <c r="H261" s="17"/>
      <c r="I261" s="17"/>
      <c r="J261" s="17"/>
      <c r="L261" s="17">
        <f>SUM(L260:L260)</f>
        <v>0</v>
      </c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19"/>
      <c r="C262" s="17"/>
      <c r="D262" s="17"/>
      <c r="E262" s="17"/>
      <c r="F262" s="17"/>
      <c r="G262" s="17"/>
      <c r="H262" s="17"/>
      <c r="I262" s="17"/>
      <c r="J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 t="s">
        <v>74</v>
      </c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25" t="s">
        <v>89</v>
      </c>
      <c r="C264" s="17"/>
      <c r="D264" s="17"/>
      <c r="E264" s="17"/>
      <c r="F264" s="17"/>
      <c r="G264" s="17"/>
      <c r="H264" s="17"/>
      <c r="I264" s="17"/>
      <c r="J264" s="17"/>
      <c r="L264" s="17">
        <f>SUM(L263:L263)</f>
        <v>0</v>
      </c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19"/>
      <c r="C265" s="17"/>
      <c r="D265" s="17"/>
      <c r="E265" s="17"/>
      <c r="F265" s="17"/>
      <c r="G265" s="17"/>
      <c r="H265" s="17"/>
      <c r="I265" s="17"/>
      <c r="J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 t="s">
        <v>75</v>
      </c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25" t="s">
        <v>89</v>
      </c>
      <c r="C267" s="17"/>
      <c r="D267" s="17"/>
      <c r="E267" s="17"/>
      <c r="F267" s="17"/>
      <c r="G267" s="17"/>
      <c r="H267" s="17"/>
      <c r="I267" s="17"/>
      <c r="J267" s="17"/>
      <c r="L267" s="17">
        <f>SUM(L266:L266)</f>
        <v>0</v>
      </c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19"/>
      <c r="C268" s="17"/>
      <c r="D268" s="17"/>
      <c r="E268" s="17"/>
      <c r="F268" s="17"/>
      <c r="G268" s="17"/>
      <c r="H268" s="17"/>
      <c r="I268" s="17"/>
      <c r="J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 t="s">
        <v>76</v>
      </c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25" t="s">
        <v>89</v>
      </c>
      <c r="C270" s="17"/>
      <c r="D270" s="17"/>
      <c r="E270" s="17"/>
      <c r="F270" s="17"/>
      <c r="G270" s="17"/>
      <c r="H270" s="17"/>
      <c r="I270" s="17"/>
      <c r="J270" s="17"/>
      <c r="L270" s="17">
        <f>SUM(L269:L269)</f>
        <v>0</v>
      </c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19"/>
      <c r="C271" s="17"/>
      <c r="D271" s="17"/>
      <c r="E271" s="17"/>
      <c r="F271" s="17"/>
      <c r="G271" s="17"/>
      <c r="H271" s="17"/>
      <c r="I271" s="17"/>
      <c r="J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 t="s">
        <v>77</v>
      </c>
      <c r="C272" s="17"/>
      <c r="D272" s="17"/>
      <c r="E272" s="17"/>
      <c r="F272" s="17"/>
      <c r="G272" s="17"/>
      <c r="H272" s="17"/>
      <c r="I272" s="17"/>
      <c r="J272" s="17"/>
      <c r="L272" s="17"/>
      <c r="M272" s="17" t="s">
        <v>269</v>
      </c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25" t="s">
        <v>89</v>
      </c>
      <c r="C273" s="17"/>
      <c r="D273" s="17"/>
      <c r="E273" s="17"/>
      <c r="F273" s="17"/>
      <c r="G273" s="17"/>
      <c r="H273" s="17"/>
      <c r="I273" s="17"/>
      <c r="J273" s="17"/>
      <c r="L273" s="17">
        <f>SUM(L272:L272)</f>
        <v>0</v>
      </c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19"/>
      <c r="C274" s="17"/>
      <c r="D274" s="17"/>
      <c r="E274" s="17"/>
      <c r="F274" s="17"/>
      <c r="G274" s="17"/>
      <c r="H274" s="17"/>
      <c r="I274" s="17"/>
      <c r="J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 t="s">
        <v>78</v>
      </c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25" t="s">
        <v>89</v>
      </c>
      <c r="C276" s="17"/>
      <c r="D276" s="17"/>
      <c r="E276" s="17"/>
      <c r="F276" s="17"/>
      <c r="G276" s="17"/>
      <c r="H276" s="17"/>
      <c r="I276" s="17"/>
      <c r="J276" s="17"/>
      <c r="L276" s="17">
        <f>SUM(L275:L275)</f>
        <v>0</v>
      </c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25"/>
      <c r="C277" s="17"/>
      <c r="D277" s="17"/>
      <c r="E277" s="17"/>
      <c r="F277" s="17"/>
      <c r="G277" s="17"/>
      <c r="H277" s="17"/>
      <c r="I277" s="17"/>
      <c r="J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25" t="s">
        <v>99</v>
      </c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19" t="s">
        <v>190</v>
      </c>
      <c r="C279" s="17" t="s">
        <v>223</v>
      </c>
      <c r="D279" s="17"/>
      <c r="E279" s="17"/>
      <c r="F279" s="17"/>
      <c r="G279" s="17"/>
      <c r="H279" s="17"/>
      <c r="I279" s="17"/>
      <c r="J279" s="17"/>
      <c r="L279" s="17">
        <f>6*50*F5</f>
        <v>7200</v>
      </c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19" t="s">
        <v>189</v>
      </c>
      <c r="C280" s="17" t="s">
        <v>205</v>
      </c>
      <c r="D280" s="17"/>
      <c r="E280" s="17"/>
      <c r="F280" s="17"/>
      <c r="G280" s="17"/>
      <c r="H280" s="17"/>
      <c r="I280" s="17"/>
      <c r="J280" s="17"/>
      <c r="L280" s="17">
        <f>50*F5</f>
        <v>1200</v>
      </c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19" t="s">
        <v>295</v>
      </c>
      <c r="C281" s="17" t="s">
        <v>296</v>
      </c>
      <c r="D281" s="17"/>
      <c r="E281" s="17"/>
      <c r="F281" s="17"/>
      <c r="G281" s="17"/>
      <c r="H281" s="17"/>
      <c r="I281" s="17"/>
      <c r="J281" s="17"/>
      <c r="L281" s="17">
        <f>1*75*F5</f>
        <v>1800</v>
      </c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19" t="s">
        <v>293</v>
      </c>
      <c r="C282" s="17" t="s">
        <v>294</v>
      </c>
      <c r="D282" s="17"/>
      <c r="E282" s="17"/>
      <c r="F282" s="17"/>
      <c r="G282" s="17"/>
      <c r="H282" s="17"/>
      <c r="I282" s="17"/>
      <c r="J282" s="17"/>
      <c r="L282" s="17">
        <f>2*75*F5</f>
        <v>3600</v>
      </c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25" t="s">
        <v>28</v>
      </c>
      <c r="C283" s="17"/>
      <c r="D283" s="17"/>
      <c r="E283" s="17"/>
      <c r="F283" s="17"/>
      <c r="G283" s="17"/>
      <c r="H283" s="17"/>
      <c r="I283" s="17"/>
      <c r="J283" s="17"/>
      <c r="L283" s="17">
        <f>SUM(L279:L280)</f>
        <v>8400</v>
      </c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25"/>
      <c r="C284" s="17"/>
      <c r="D284" s="17"/>
      <c r="E284" s="17"/>
      <c r="F284" s="17"/>
      <c r="G284" s="17"/>
      <c r="H284" s="17"/>
      <c r="I284" s="17"/>
      <c r="J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>
      <c r="A285" s="6"/>
      <c r="B285" s="25" t="s">
        <v>91</v>
      </c>
      <c r="C285" s="23"/>
      <c r="D285" s="23"/>
      <c r="E285" s="23"/>
      <c r="F285" s="23"/>
      <c r="G285" s="23"/>
      <c r="H285" s="23"/>
      <c r="I285" s="23"/>
      <c r="J285" s="23"/>
      <c r="L285" s="23">
        <f>SUM(+L255+L258+L261+L264+L267+L270+L273+L276+L283)</f>
        <v>13400</v>
      </c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5.75" thickBot="1">
      <c r="A286" s="6"/>
      <c r="B286" s="19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ht="15.75" thickBot="1">
      <c r="A287" s="116" t="s">
        <v>82</v>
      </c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8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31"/>
      <c r="B288" s="3" t="s">
        <v>100</v>
      </c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>
      <c r="A289" s="6"/>
      <c r="B289" s="19" t="s">
        <v>207</v>
      </c>
      <c r="C289" s="17"/>
      <c r="D289" s="17"/>
      <c r="E289" s="17"/>
      <c r="F289" s="17"/>
      <c r="G289" s="17"/>
      <c r="H289" s="17"/>
      <c r="I289" s="17"/>
      <c r="J289" s="17"/>
      <c r="L289" s="17">
        <v>3500</v>
      </c>
      <c r="M289" s="17" t="s">
        <v>252</v>
      </c>
      <c r="N289" s="17"/>
      <c r="O289" s="17"/>
      <c r="P289" s="17"/>
      <c r="Q289" s="17"/>
      <c r="R289" s="17"/>
      <c r="S289" s="17"/>
      <c r="T289" s="17"/>
      <c r="U289" s="17"/>
    </row>
    <row r="290" spans="1:21">
      <c r="A290" s="6"/>
      <c r="B290" s="25" t="s">
        <v>89</v>
      </c>
      <c r="C290" s="17"/>
      <c r="D290" s="17"/>
      <c r="E290" s="17"/>
      <c r="F290" s="17"/>
      <c r="G290" s="17"/>
      <c r="H290" s="17"/>
      <c r="I290" s="17"/>
      <c r="J290" s="17"/>
      <c r="L290" s="17">
        <f>L289</f>
        <v>3500</v>
      </c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>
      <c r="A291" s="6"/>
      <c r="B291" s="25"/>
      <c r="C291" s="17"/>
      <c r="D291" s="17"/>
      <c r="E291" s="17"/>
      <c r="F291" s="17"/>
      <c r="G291" s="17"/>
      <c r="H291" s="17"/>
      <c r="I291" s="17"/>
      <c r="J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>
      <c r="A292" s="6"/>
      <c r="B292" s="25" t="s">
        <v>101</v>
      </c>
      <c r="C292" s="17"/>
      <c r="D292" s="17"/>
      <c r="E292" s="17"/>
      <c r="F292" s="17"/>
      <c r="G292" s="17"/>
      <c r="H292" s="17"/>
      <c r="I292" s="17"/>
      <c r="J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6.5" customHeight="1">
      <c r="A293" s="6"/>
      <c r="B293" s="25" t="s">
        <v>89</v>
      </c>
      <c r="C293" s="17"/>
      <c r="D293" s="17"/>
      <c r="E293" s="17"/>
      <c r="F293" s="17"/>
      <c r="G293" s="17"/>
      <c r="H293" s="17"/>
      <c r="I293" s="17"/>
      <c r="J293" s="17"/>
      <c r="L293" s="17">
        <f>L292</f>
        <v>0</v>
      </c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6.5" customHeight="1">
      <c r="A294" s="6"/>
      <c r="B294" s="25"/>
      <c r="C294" s="17"/>
      <c r="D294" s="17"/>
      <c r="E294" s="17"/>
      <c r="F294" s="17"/>
      <c r="G294" s="17"/>
      <c r="H294" s="17"/>
      <c r="I294" s="17"/>
      <c r="J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ht="16.5" customHeight="1">
      <c r="A295" s="6"/>
      <c r="B295" s="25" t="s">
        <v>184</v>
      </c>
      <c r="C295" s="17"/>
      <c r="D295" s="17"/>
      <c r="E295" s="17"/>
      <c r="F295" s="17"/>
      <c r="G295" s="17"/>
      <c r="H295" s="17"/>
      <c r="I295" s="17"/>
      <c r="J295" s="17"/>
      <c r="L295" s="17">
        <f>SUM(L290+L293)</f>
        <v>3500</v>
      </c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s="43" customFormat="1" ht="16.5" customHeight="1" thickBot="1">
      <c r="A296" s="6"/>
      <c r="B296" s="19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36"/>
      <c r="N296" s="36"/>
      <c r="O296" s="36"/>
      <c r="P296" s="36"/>
      <c r="Q296" s="36"/>
      <c r="R296" s="36"/>
      <c r="S296" s="36"/>
      <c r="T296" s="36"/>
      <c r="U296" s="36"/>
    </row>
    <row r="297" spans="1:21" s="43" customFormat="1" ht="16.5" customHeight="1" thickBot="1">
      <c r="A297" s="116" t="s">
        <v>83</v>
      </c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8"/>
      <c r="M297" s="36"/>
      <c r="N297" s="36"/>
      <c r="O297" s="36"/>
      <c r="P297" s="36"/>
      <c r="Q297" s="36"/>
      <c r="R297" s="36"/>
      <c r="S297" s="36"/>
      <c r="T297" s="36"/>
      <c r="U297" s="36"/>
    </row>
    <row r="298" spans="1:21" s="43" customFormat="1" ht="16.5" customHeight="1">
      <c r="A298" s="39"/>
      <c r="B298" s="42" t="s">
        <v>102</v>
      </c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6"/>
      <c r="N298" s="36"/>
      <c r="O298" s="36"/>
      <c r="P298" s="36"/>
      <c r="Q298" s="36"/>
      <c r="R298" s="36"/>
      <c r="S298" s="36"/>
      <c r="T298" s="36"/>
      <c r="U298" s="36"/>
    </row>
    <row r="299" spans="1:21" s="43" customFormat="1" ht="16.5" customHeight="1">
      <c r="A299" s="39"/>
      <c r="B299" s="39" t="s">
        <v>103</v>
      </c>
      <c r="C299" s="39"/>
      <c r="D299" s="39"/>
      <c r="E299" s="39"/>
      <c r="F299" s="39"/>
      <c r="G299" s="39"/>
      <c r="H299" s="39"/>
      <c r="I299" s="39"/>
      <c r="J299" s="39"/>
      <c r="L299" s="39">
        <v>15000</v>
      </c>
      <c r="M299" s="36" t="s">
        <v>270</v>
      </c>
      <c r="N299" s="36"/>
      <c r="O299" s="36"/>
      <c r="P299" s="36"/>
      <c r="Q299" s="36"/>
      <c r="R299" s="36"/>
      <c r="S299" s="36"/>
      <c r="T299" s="36"/>
      <c r="U299" s="36"/>
    </row>
    <row r="300" spans="1:21" s="43" customFormat="1" ht="16.5" customHeight="1">
      <c r="A300" s="42"/>
      <c r="B300" s="42" t="s">
        <v>89</v>
      </c>
      <c r="C300" s="42"/>
      <c r="D300" s="42"/>
      <c r="E300" s="42"/>
      <c r="F300" s="42"/>
      <c r="G300" s="42"/>
      <c r="H300" s="42"/>
      <c r="I300" s="42"/>
      <c r="J300" s="42"/>
      <c r="L300" s="42">
        <f>L299</f>
        <v>15000</v>
      </c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s="43" customFormat="1" ht="16.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L301" s="42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s="43" customFormat="1" ht="16.5" customHeight="1">
      <c r="A302" s="42"/>
      <c r="B302" s="42" t="s">
        <v>104</v>
      </c>
      <c r="C302" s="42"/>
      <c r="D302" s="42"/>
      <c r="E302" s="42"/>
      <c r="F302" s="42"/>
      <c r="G302" s="42"/>
      <c r="H302" s="42"/>
      <c r="I302" s="42"/>
      <c r="J302" s="42"/>
      <c r="L302" s="42"/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s="43" customFormat="1" ht="16.5" customHeight="1">
      <c r="A303" s="42"/>
      <c r="B303" s="42" t="s">
        <v>89</v>
      </c>
      <c r="C303" s="42"/>
      <c r="D303" s="42"/>
      <c r="E303" s="42"/>
      <c r="F303" s="42"/>
      <c r="G303" s="42"/>
      <c r="H303" s="42"/>
      <c r="I303" s="42"/>
      <c r="J303" s="42"/>
      <c r="L303" s="42">
        <f>SUM(L302:L302)</f>
        <v>0</v>
      </c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s="43" customFormat="1" ht="16.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L304" s="42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 t="s">
        <v>105</v>
      </c>
      <c r="C305" s="42"/>
      <c r="D305" s="42"/>
      <c r="E305" s="42"/>
      <c r="F305" s="42"/>
      <c r="G305" s="42"/>
      <c r="H305" s="42"/>
      <c r="I305" s="42"/>
      <c r="J305" s="42"/>
      <c r="L305" s="42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 t="s">
        <v>89</v>
      </c>
      <c r="C306" s="42"/>
      <c r="D306" s="42"/>
      <c r="E306" s="42"/>
      <c r="F306" s="42"/>
      <c r="G306" s="42"/>
      <c r="H306" s="42"/>
      <c r="I306" s="42"/>
      <c r="J306" s="42"/>
      <c r="L306" s="42">
        <f>SUM(L305:L305)</f>
        <v>0</v>
      </c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L307" s="42"/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 t="s">
        <v>106</v>
      </c>
      <c r="C308" s="39" t="s">
        <v>224</v>
      </c>
      <c r="D308" s="42"/>
      <c r="E308" s="42"/>
      <c r="F308" s="42"/>
      <c r="G308" s="42"/>
      <c r="H308" s="42"/>
      <c r="I308" s="42"/>
      <c r="J308" s="42"/>
      <c r="L308" s="39">
        <v>2500</v>
      </c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 t="s">
        <v>89</v>
      </c>
      <c r="C309" s="42"/>
      <c r="D309" s="42"/>
      <c r="E309" s="42"/>
      <c r="F309" s="42"/>
      <c r="G309" s="42"/>
      <c r="H309" s="42"/>
      <c r="I309" s="42"/>
      <c r="J309" s="42"/>
      <c r="L309" s="42">
        <f>SUM(L308:L308)</f>
        <v>2500</v>
      </c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L310" s="42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 t="s">
        <v>107</v>
      </c>
      <c r="C311" s="42"/>
      <c r="D311" s="42"/>
      <c r="E311" s="42"/>
      <c r="F311" s="42"/>
      <c r="G311" s="42"/>
      <c r="H311" s="42"/>
      <c r="I311" s="42"/>
      <c r="J311" s="42"/>
      <c r="L311" s="39">
        <v>500</v>
      </c>
      <c r="M311" s="36" t="s">
        <v>271</v>
      </c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 t="s">
        <v>90</v>
      </c>
      <c r="C312" s="42"/>
      <c r="D312" s="42"/>
      <c r="E312" s="42"/>
      <c r="F312" s="42"/>
      <c r="G312" s="42"/>
      <c r="H312" s="42"/>
      <c r="I312" s="42"/>
      <c r="J312" s="42"/>
      <c r="L312" s="42">
        <f>SUM(L311:L311)</f>
        <v>500</v>
      </c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 ht="16.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L313" s="42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>
      <c r="A314" s="42"/>
      <c r="B314" s="42" t="s">
        <v>108</v>
      </c>
      <c r="C314" s="42"/>
      <c r="D314" s="42"/>
      <c r="E314" s="42"/>
      <c r="F314" s="42"/>
      <c r="G314" s="42"/>
      <c r="H314" s="42"/>
      <c r="I314" s="42"/>
      <c r="J314" s="42"/>
      <c r="L314" s="42"/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>
      <c r="A315" s="42"/>
      <c r="B315" s="42" t="s">
        <v>89</v>
      </c>
      <c r="C315" s="42"/>
      <c r="D315" s="42"/>
      <c r="E315" s="42"/>
      <c r="F315" s="42"/>
      <c r="G315" s="42"/>
      <c r="H315" s="42"/>
      <c r="I315" s="42"/>
      <c r="J315" s="42"/>
      <c r="L315" s="42">
        <f>SUM(L314:L314)</f>
        <v>0</v>
      </c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>
      <c r="A316" s="42"/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>
      <c r="A317" s="42"/>
      <c r="B317" s="44" t="s">
        <v>109</v>
      </c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4" t="s">
        <v>89</v>
      </c>
      <c r="L318" s="43">
        <f>SUM(L317:L317)</f>
        <v>0</v>
      </c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B319" s="44"/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B320" s="44" t="s">
        <v>110</v>
      </c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s="43" customFormat="1">
      <c r="A321" s="42"/>
      <c r="B321" s="44" t="s">
        <v>89</v>
      </c>
      <c r="L321" s="43">
        <f>SUM(L320:L320)</f>
        <v>0</v>
      </c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>
      <c r="A322" s="42"/>
      <c r="B322" s="43"/>
      <c r="C322" s="43"/>
      <c r="D322" s="43"/>
      <c r="E322" s="43"/>
      <c r="F322" s="43"/>
      <c r="G322" s="43"/>
      <c r="H322" s="43"/>
      <c r="I322" s="43"/>
      <c r="J322" s="43"/>
      <c r="L322" s="43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6.5" customHeight="1">
      <c r="A323" s="42"/>
      <c r="B323" s="44" t="s">
        <v>111</v>
      </c>
      <c r="C323" s="43"/>
      <c r="D323" s="43"/>
      <c r="E323" s="43"/>
      <c r="F323" s="43"/>
      <c r="G323" s="43"/>
      <c r="H323" s="43"/>
      <c r="I323" s="43"/>
      <c r="J323" s="43"/>
      <c r="L323" s="44">
        <f>SUM(L300+L303+L306+L309+L312+L315+L318+L321)</f>
        <v>18000</v>
      </c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5.75" thickBot="1">
      <c r="A324" s="6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ht="15.75" thickBot="1">
      <c r="A325" s="116" t="s">
        <v>88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8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>
      <c r="A326" s="6"/>
      <c r="B326" s="30" t="s">
        <v>112</v>
      </c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>
      <c r="A327" s="6"/>
      <c r="B327" s="2" t="s">
        <v>113</v>
      </c>
      <c r="L327" s="2">
        <v>1500</v>
      </c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>
      <c r="A328" s="6"/>
      <c r="B328" s="30" t="s">
        <v>89</v>
      </c>
      <c r="L328" s="30">
        <f>SUM(L327)</f>
        <v>1500</v>
      </c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>
      <c r="A329" s="6"/>
      <c r="B329" s="30"/>
      <c r="L329" s="30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>
      <c r="A330" s="6"/>
      <c r="B330" s="30" t="s">
        <v>114</v>
      </c>
      <c r="L330" s="30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>
      <c r="A331" s="6"/>
      <c r="B331" s="30" t="s">
        <v>89</v>
      </c>
      <c r="L331" s="30">
        <f>L330</f>
        <v>0</v>
      </c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>
      <c r="A332" s="6"/>
      <c r="B332" s="30"/>
      <c r="L332" s="3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>
      <c r="A333" s="6"/>
      <c r="B333" s="30" t="s">
        <v>115</v>
      </c>
      <c r="L333" s="3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>
      <c r="A334" s="6"/>
      <c r="B334" s="30" t="s">
        <v>89</v>
      </c>
      <c r="L334" s="30">
        <f>L333</f>
        <v>0</v>
      </c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>
      <c r="A335" s="6"/>
      <c r="B335" s="30"/>
      <c r="L335" s="3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>
      <c r="A336" s="6"/>
      <c r="B336" s="30" t="s">
        <v>116</v>
      </c>
      <c r="L336" s="3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>
      <c r="A337" s="45"/>
      <c r="B337" s="2" t="s">
        <v>117</v>
      </c>
      <c r="L337" s="2">
        <v>800</v>
      </c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>
      <c r="A338" s="6"/>
      <c r="B338" s="30" t="s">
        <v>89</v>
      </c>
      <c r="L338" s="30">
        <f>SUM(L337)</f>
        <v>800</v>
      </c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>
      <c r="A339" s="6"/>
      <c r="B339" s="30"/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>
      <c r="A340" s="6"/>
      <c r="B340" s="30" t="s">
        <v>118</v>
      </c>
      <c r="L340" s="30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>
      <c r="A341" s="6"/>
      <c r="B341" s="30" t="s">
        <v>119</v>
      </c>
      <c r="L341" s="30">
        <f>L340</f>
        <v>0</v>
      </c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>
      <c r="A342" s="6"/>
      <c r="B342" s="30"/>
      <c r="L342" s="30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>
      <c r="A343" s="6"/>
      <c r="B343" s="30" t="s">
        <v>253</v>
      </c>
      <c r="L343" s="2">
        <f>30*F5*10</f>
        <v>7200</v>
      </c>
      <c r="M343" s="17" t="s">
        <v>291</v>
      </c>
      <c r="N343" s="17"/>
      <c r="O343" s="17"/>
      <c r="P343" s="17"/>
      <c r="Q343" s="17"/>
      <c r="R343" s="17"/>
      <c r="S343" s="17"/>
      <c r="T343" s="17"/>
      <c r="U343" s="17"/>
    </row>
    <row r="344" spans="1:21">
      <c r="A344" s="6"/>
      <c r="B344" s="30" t="s">
        <v>89</v>
      </c>
      <c r="L344" s="30">
        <f>SUM(L343:L343)</f>
        <v>7200</v>
      </c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>
      <c r="A345" s="6"/>
      <c r="B345" s="30"/>
      <c r="L345" s="30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ht="16.5" customHeight="1">
      <c r="A346" s="6"/>
      <c r="B346" s="30" t="s">
        <v>120</v>
      </c>
      <c r="L346" s="30">
        <f>SUM(L328+L331+L334+L338+L341+L344)</f>
        <v>9500</v>
      </c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s="41" customFormat="1" ht="16.5" customHeight="1" thickBot="1">
      <c r="A347" s="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4"/>
      <c r="N347" s="34"/>
      <c r="O347" s="34"/>
      <c r="P347" s="34"/>
      <c r="Q347" s="34"/>
      <c r="R347" s="34"/>
      <c r="S347" s="34"/>
      <c r="T347" s="34"/>
      <c r="U347" s="34"/>
    </row>
    <row r="348" spans="1:21" s="41" customFormat="1" ht="16.5" customHeight="1" thickBot="1">
      <c r="A348" s="116" t="s">
        <v>87</v>
      </c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8"/>
      <c r="M348" s="34"/>
      <c r="N348" s="34"/>
      <c r="O348" s="34"/>
      <c r="P348" s="34"/>
      <c r="Q348" s="34"/>
      <c r="R348" s="34"/>
      <c r="S348" s="34"/>
      <c r="T348" s="34"/>
      <c r="U348" s="34"/>
    </row>
    <row r="349" spans="1:21" s="41" customFormat="1" ht="16.5" customHeight="1">
      <c r="A349" s="3"/>
      <c r="B349" s="3" t="s">
        <v>121</v>
      </c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4"/>
      <c r="O349" s="34"/>
      <c r="P349" s="34"/>
      <c r="Q349" s="34"/>
      <c r="R349" s="34"/>
      <c r="S349" s="34"/>
      <c r="T349" s="34"/>
      <c r="U349" s="34"/>
    </row>
    <row r="350" spans="1:21" s="41" customFormat="1" ht="16.5" customHeight="1">
      <c r="A350" s="3"/>
      <c r="B350" s="3" t="s">
        <v>89</v>
      </c>
      <c r="C350" s="3"/>
      <c r="D350" s="3"/>
      <c r="E350" s="3"/>
      <c r="F350" s="3"/>
      <c r="G350" s="3"/>
      <c r="H350" s="3"/>
      <c r="I350" s="3"/>
      <c r="J350" s="3"/>
      <c r="L350" s="3">
        <f>K349</f>
        <v>0</v>
      </c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1:21" s="41" customFormat="1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1" s="41" customFormat="1" ht="16.5" customHeight="1">
      <c r="A352" s="3"/>
      <c r="B352" s="3" t="s">
        <v>50</v>
      </c>
      <c r="C352" s="3"/>
      <c r="D352" s="3"/>
      <c r="E352" s="3"/>
      <c r="F352" s="3"/>
      <c r="G352" s="3"/>
      <c r="H352" s="3"/>
      <c r="I352" s="3"/>
      <c r="J352" s="3"/>
      <c r="L352" s="3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1" s="41" customFormat="1" ht="16.5" customHeight="1">
      <c r="A353" s="3"/>
      <c r="B353" s="3" t="s">
        <v>89</v>
      </c>
      <c r="C353" s="3"/>
      <c r="D353" s="3"/>
      <c r="E353" s="3"/>
      <c r="F353" s="3"/>
      <c r="G353" s="3"/>
      <c r="H353" s="3"/>
      <c r="I353" s="3"/>
      <c r="J353" s="3"/>
      <c r="L353" s="3">
        <f>L352</f>
        <v>0</v>
      </c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1" s="41" customFormat="1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1" s="41" customFormat="1" ht="16.5" customHeight="1">
      <c r="A355" s="3"/>
      <c r="B355" s="3" t="s">
        <v>122</v>
      </c>
      <c r="C355" s="3"/>
      <c r="D355" s="3"/>
      <c r="E355" s="3"/>
      <c r="F355" s="3"/>
      <c r="G355" s="3"/>
      <c r="H355" s="3"/>
      <c r="I355" s="3"/>
      <c r="J355" s="3"/>
      <c r="L355" s="3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1" s="41" customFormat="1" ht="16.5" customHeight="1">
      <c r="A356" s="3"/>
      <c r="B356" s="3" t="s">
        <v>90</v>
      </c>
      <c r="C356" s="3"/>
      <c r="D356" s="3"/>
      <c r="E356" s="3"/>
      <c r="F356" s="3"/>
      <c r="G356" s="3"/>
      <c r="H356" s="3"/>
      <c r="I356" s="3"/>
      <c r="J356" s="3"/>
      <c r="L356" s="3">
        <f>L355</f>
        <v>0</v>
      </c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1" s="41" customFormat="1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L357" s="3"/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1:21" s="41" customFormat="1" ht="16.5" customHeight="1">
      <c r="A358" s="3"/>
      <c r="B358" s="3" t="s">
        <v>123</v>
      </c>
      <c r="C358" s="32" t="s">
        <v>292</v>
      </c>
      <c r="D358" s="3"/>
      <c r="E358" s="3"/>
      <c r="F358" s="3"/>
      <c r="G358" s="3"/>
      <c r="H358" s="3"/>
      <c r="I358" s="3"/>
      <c r="J358" s="3"/>
      <c r="L358" s="32">
        <f>SUM(75*1*F5)</f>
        <v>1800</v>
      </c>
      <c r="M358" s="34" t="s">
        <v>272</v>
      </c>
      <c r="N358" s="34"/>
      <c r="O358" s="34"/>
      <c r="P358" s="34"/>
      <c r="Q358" s="34"/>
      <c r="R358" s="34"/>
      <c r="S358" s="34"/>
      <c r="T358" s="34"/>
      <c r="U358" s="34"/>
    </row>
    <row r="359" spans="1:21" s="41" customFormat="1" ht="16.5" customHeight="1">
      <c r="A359" s="3"/>
      <c r="B359" s="3" t="s">
        <v>89</v>
      </c>
      <c r="C359" s="3"/>
      <c r="D359" s="3"/>
      <c r="E359" s="3"/>
      <c r="F359" s="3"/>
      <c r="G359" s="3"/>
      <c r="H359" s="3"/>
      <c r="I359" s="3"/>
      <c r="J359" s="3"/>
      <c r="L359" s="3">
        <f>L358</f>
        <v>1800</v>
      </c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1" s="41" customFormat="1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L360" s="3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1" s="41" customFormat="1" ht="16.5" customHeight="1">
      <c r="A361" s="3"/>
      <c r="B361" s="3" t="s">
        <v>124</v>
      </c>
      <c r="C361" s="3"/>
      <c r="D361" s="3"/>
      <c r="E361" s="3"/>
      <c r="F361" s="3"/>
      <c r="G361" s="3"/>
      <c r="H361" s="3"/>
      <c r="I361" s="3"/>
      <c r="J361" s="3"/>
      <c r="L361" s="3"/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1:21" s="41" customFormat="1" ht="16.5" customHeight="1">
      <c r="A362" s="3"/>
      <c r="B362" s="3" t="s">
        <v>89</v>
      </c>
      <c r="C362" s="3"/>
      <c r="D362" s="3"/>
      <c r="E362" s="3"/>
      <c r="F362" s="3"/>
      <c r="G362" s="3"/>
      <c r="H362" s="3"/>
      <c r="I362" s="3"/>
      <c r="J362" s="3"/>
      <c r="L362" s="3">
        <f>L361</f>
        <v>0</v>
      </c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1:21" s="41" customFormat="1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L363" s="3"/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1" s="41" customFormat="1">
      <c r="A364" s="3"/>
      <c r="B364" s="3" t="s">
        <v>125</v>
      </c>
      <c r="C364" s="3"/>
      <c r="D364" s="3"/>
      <c r="E364" s="3"/>
      <c r="F364" s="3"/>
      <c r="G364" s="3"/>
      <c r="H364" s="3"/>
      <c r="I364" s="3"/>
      <c r="J364" s="3"/>
      <c r="L364" s="3">
        <f>SUM(L350+L353+L356+L359+L362)</f>
        <v>1800</v>
      </c>
      <c r="M364" s="34"/>
      <c r="N364" s="34"/>
      <c r="O364" s="34"/>
      <c r="P364" s="34"/>
      <c r="Q364" s="34"/>
      <c r="R364" s="34"/>
      <c r="S364" s="34"/>
      <c r="T364" s="34"/>
      <c r="U364" s="34"/>
    </row>
    <row r="365" spans="1: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s="41" customFormat="1" ht="15.75" thickBot="1">
      <c r="A366" s="3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1" s="41" customFormat="1" ht="15.75" thickBot="1">
      <c r="A367" s="116" t="s">
        <v>86</v>
      </c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8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1" s="41" customFormat="1">
      <c r="A368" s="3"/>
      <c r="B368" s="3" t="s">
        <v>126</v>
      </c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1:21" s="41" customFormat="1">
      <c r="A369" s="3"/>
      <c r="B369" s="3" t="s">
        <v>89</v>
      </c>
      <c r="C369" s="3"/>
      <c r="D369" s="3"/>
      <c r="E369" s="3"/>
      <c r="F369" s="3"/>
      <c r="G369" s="3"/>
      <c r="H369" s="3"/>
      <c r="I369" s="3"/>
      <c r="J369" s="3"/>
      <c r="L369" s="3">
        <f>K368</f>
        <v>0</v>
      </c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1:21" s="41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L370" s="3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1" s="41" customFormat="1">
      <c r="A371" s="3"/>
      <c r="B371" s="3" t="s">
        <v>127</v>
      </c>
      <c r="C371" s="3"/>
      <c r="D371" s="3"/>
      <c r="E371" s="3"/>
      <c r="F371" s="3"/>
      <c r="G371" s="3"/>
      <c r="H371" s="3"/>
      <c r="I371" s="3"/>
      <c r="J371" s="3"/>
      <c r="L371" s="3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1" s="41" customFormat="1">
      <c r="A372" s="3"/>
      <c r="B372" s="3" t="s">
        <v>89</v>
      </c>
      <c r="C372" s="3"/>
      <c r="D372" s="3"/>
      <c r="E372" s="3"/>
      <c r="F372" s="3"/>
      <c r="G372" s="3"/>
      <c r="H372" s="3"/>
      <c r="I372" s="3"/>
      <c r="J372" s="3"/>
      <c r="L372" s="3">
        <f>L371</f>
        <v>0</v>
      </c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1" s="41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L373" s="3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1" s="41" customFormat="1">
      <c r="A374" s="3"/>
      <c r="B374" s="3" t="s">
        <v>128</v>
      </c>
      <c r="C374" s="3"/>
      <c r="D374" s="3"/>
      <c r="E374" s="3"/>
      <c r="F374" s="3"/>
      <c r="G374" s="3"/>
      <c r="H374" s="3"/>
      <c r="I374" s="3"/>
      <c r="J374" s="3"/>
      <c r="L374" s="3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1" s="41" customFormat="1">
      <c r="A375" s="3"/>
      <c r="B375" s="3" t="s">
        <v>89</v>
      </c>
      <c r="C375" s="3"/>
      <c r="D375" s="3"/>
      <c r="E375" s="3"/>
      <c r="F375" s="3"/>
      <c r="G375" s="3"/>
      <c r="H375" s="3"/>
      <c r="I375" s="3"/>
      <c r="J375" s="3"/>
      <c r="L375" s="3">
        <f>L374</f>
        <v>0</v>
      </c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1" s="41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L376" s="3"/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1" s="41" customFormat="1">
      <c r="A377" s="3"/>
      <c r="B377" s="46" t="s">
        <v>129</v>
      </c>
      <c r="C377" s="41" t="s">
        <v>213</v>
      </c>
      <c r="L377" s="41">
        <v>500</v>
      </c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1" s="41" customFormat="1">
      <c r="A378" s="3"/>
      <c r="B378" s="41" t="s">
        <v>214</v>
      </c>
      <c r="L378" s="41">
        <v>1000</v>
      </c>
      <c r="M378" s="34" t="s">
        <v>273</v>
      </c>
      <c r="N378" s="34"/>
      <c r="O378" s="34"/>
      <c r="P378" s="34"/>
      <c r="Q378" s="34"/>
      <c r="R378" s="34"/>
      <c r="S378" s="34"/>
      <c r="T378" s="34"/>
      <c r="U378" s="34"/>
    </row>
    <row r="379" spans="1:21" s="41" customFormat="1">
      <c r="A379" s="3"/>
      <c r="B379" s="46" t="s">
        <v>89</v>
      </c>
      <c r="L379" s="41">
        <f>L377+L378</f>
        <v>1500</v>
      </c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1" s="41" customFormat="1">
      <c r="A380" s="3"/>
      <c r="B380" s="46"/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1" s="41" customFormat="1">
      <c r="A381" s="3"/>
      <c r="B381" s="46" t="s">
        <v>130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1" s="41" customFormat="1">
      <c r="A382" s="3"/>
      <c r="B382" s="46" t="s">
        <v>89</v>
      </c>
      <c r="L382" s="41">
        <f>L381</f>
        <v>0</v>
      </c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1" s="41" customFormat="1">
      <c r="A383" s="3"/>
      <c r="B383" s="46"/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1:21" ht="16.5" customHeight="1">
      <c r="A384" s="3"/>
      <c r="B384" s="46" t="s">
        <v>131</v>
      </c>
      <c r="C384" s="41"/>
      <c r="D384" s="41"/>
      <c r="E384" s="41"/>
      <c r="F384" s="41"/>
      <c r="G384" s="41"/>
      <c r="H384" s="41"/>
      <c r="I384" s="41"/>
      <c r="J384" s="41"/>
      <c r="L384" s="41">
        <f>SUM(L369+L372+L375+L379+L382)</f>
        <v>1500</v>
      </c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6.5" customHeight="1" thickBot="1">
      <c r="A385" s="3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6.5" customHeight="1" thickBot="1">
      <c r="A386" s="116" t="s">
        <v>85</v>
      </c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8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6.5" customHeight="1">
      <c r="A387" s="31"/>
      <c r="B387" s="3" t="s">
        <v>132</v>
      </c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6.5" customHeight="1">
      <c r="A388" s="31"/>
      <c r="B388" s="3" t="s">
        <v>119</v>
      </c>
      <c r="C388" s="31"/>
      <c r="D388" s="31"/>
      <c r="E388" s="31"/>
      <c r="F388" s="31"/>
      <c r="G388" s="31"/>
      <c r="H388" s="31"/>
      <c r="I388" s="31"/>
      <c r="J388" s="31"/>
      <c r="L388" s="38">
        <f>K387</f>
        <v>0</v>
      </c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6.5" customHeight="1">
      <c r="A389" s="31"/>
      <c r="B389" s="3"/>
      <c r="C389" s="31"/>
      <c r="D389" s="31"/>
      <c r="E389" s="31"/>
      <c r="F389" s="31"/>
      <c r="G389" s="31"/>
      <c r="H389" s="31"/>
      <c r="I389" s="31"/>
      <c r="J389" s="31"/>
      <c r="L389" s="38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6.5" customHeight="1">
      <c r="A390" s="31"/>
      <c r="B390" s="3" t="s">
        <v>133</v>
      </c>
      <c r="C390" s="31"/>
      <c r="D390" s="31"/>
      <c r="E390" s="31"/>
      <c r="F390" s="31"/>
      <c r="G390" s="31"/>
      <c r="H390" s="31"/>
      <c r="I390" s="31"/>
      <c r="J390" s="31"/>
      <c r="L390" s="38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6.5" customHeight="1">
      <c r="A391" s="31"/>
      <c r="B391" s="3" t="s">
        <v>89</v>
      </c>
      <c r="C391" s="31"/>
      <c r="D391" s="31"/>
      <c r="E391" s="31"/>
      <c r="F391" s="31"/>
      <c r="G391" s="31"/>
      <c r="H391" s="31"/>
      <c r="I391" s="31"/>
      <c r="J391" s="31"/>
      <c r="L391" s="38">
        <f>L390</f>
        <v>0</v>
      </c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6.5" customHeight="1">
      <c r="A392" s="31"/>
      <c r="B392" s="3"/>
      <c r="C392" s="31"/>
      <c r="D392" s="31"/>
      <c r="E392" s="31"/>
      <c r="F392" s="31"/>
      <c r="G392" s="31"/>
      <c r="H392" s="31"/>
      <c r="I392" s="31"/>
      <c r="J392" s="31"/>
      <c r="L392" s="38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6.5" customHeight="1">
      <c r="A393" s="31"/>
      <c r="B393" s="3" t="s">
        <v>134</v>
      </c>
      <c r="C393" s="31"/>
      <c r="D393" s="31"/>
      <c r="E393" s="31"/>
      <c r="F393" s="31"/>
      <c r="G393" s="31"/>
      <c r="H393" s="31"/>
      <c r="I393" s="31"/>
      <c r="J393" s="31"/>
      <c r="L393" s="38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>
      <c r="A394" s="31"/>
      <c r="B394" s="3" t="s">
        <v>89</v>
      </c>
      <c r="C394" s="31"/>
      <c r="D394" s="31"/>
      <c r="E394" s="31"/>
      <c r="F394" s="31"/>
      <c r="G394" s="31"/>
      <c r="H394" s="31"/>
      <c r="I394" s="31"/>
      <c r="J394" s="31"/>
      <c r="L394" s="38">
        <f>L393</f>
        <v>0</v>
      </c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>
      <c r="A395" s="31"/>
      <c r="B395" s="3"/>
      <c r="C395" s="31"/>
      <c r="D395" s="31"/>
      <c r="E395" s="31"/>
      <c r="F395" s="31"/>
      <c r="G395" s="31"/>
      <c r="H395" s="31"/>
      <c r="I395" s="31"/>
      <c r="J395" s="31"/>
      <c r="L395" s="38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>
      <c r="A396" s="6"/>
      <c r="B396" s="46" t="s">
        <v>135</v>
      </c>
      <c r="L396" s="1">
        <f>SUM(L388+L391+L394)</f>
        <v>0</v>
      </c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6.5" customHeight="1">
      <c r="A397" s="6"/>
      <c r="B397" s="41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s="41" customFormat="1" ht="16.5" customHeight="1" thickBot="1">
      <c r="A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34"/>
      <c r="N398" s="34"/>
      <c r="O398" s="34"/>
      <c r="P398" s="34"/>
      <c r="Q398" s="34"/>
      <c r="R398" s="34"/>
      <c r="S398" s="34"/>
      <c r="T398" s="34"/>
      <c r="U398" s="34"/>
    </row>
    <row r="399" spans="1:21" s="41" customFormat="1" ht="16.5" customHeight="1" thickBot="1">
      <c r="A399" s="116" t="s">
        <v>84</v>
      </c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8"/>
      <c r="M399" s="34"/>
      <c r="N399" s="34"/>
      <c r="O399" s="34"/>
      <c r="P399" s="34"/>
      <c r="Q399" s="34"/>
      <c r="R399" s="34"/>
      <c r="S399" s="34"/>
      <c r="T399" s="34"/>
      <c r="U399" s="34"/>
    </row>
    <row r="400" spans="1:21" s="41" customFormat="1" ht="16.5" customHeight="1">
      <c r="A400" s="3"/>
      <c r="B400" s="3" t="s">
        <v>136</v>
      </c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4"/>
      <c r="O400" s="34"/>
      <c r="P400" s="34"/>
      <c r="Q400" s="34"/>
      <c r="R400" s="34"/>
      <c r="S400" s="34"/>
      <c r="T400" s="34"/>
      <c r="U400" s="34"/>
    </row>
    <row r="401" spans="1:21" s="41" customFormat="1" ht="16.5" customHeight="1">
      <c r="A401" s="3"/>
      <c r="B401" s="32" t="s">
        <v>25</v>
      </c>
      <c r="C401" s="3"/>
      <c r="D401" s="3"/>
      <c r="E401" s="3"/>
      <c r="F401" s="3"/>
      <c r="G401" s="3"/>
      <c r="H401" s="3"/>
      <c r="I401" s="3"/>
      <c r="J401" s="3"/>
      <c r="L401" s="32">
        <v>500</v>
      </c>
      <c r="M401" s="34" t="s">
        <v>297</v>
      </c>
      <c r="N401" s="34"/>
      <c r="O401" s="34"/>
      <c r="P401" s="34"/>
      <c r="Q401" s="34"/>
      <c r="R401" s="34"/>
      <c r="S401" s="34"/>
      <c r="T401" s="34"/>
      <c r="U401" s="34"/>
    </row>
    <row r="402" spans="1:21" s="41" customFormat="1" ht="16.5" customHeight="1">
      <c r="A402" s="3"/>
      <c r="B402" s="3" t="s">
        <v>89</v>
      </c>
      <c r="C402" s="3"/>
      <c r="D402" s="3"/>
      <c r="E402" s="3"/>
      <c r="F402" s="3"/>
      <c r="G402" s="3"/>
      <c r="H402" s="3"/>
      <c r="I402" s="3"/>
      <c r="J402" s="3"/>
      <c r="L402" s="3">
        <f>SUM(L401:L401)</f>
        <v>500</v>
      </c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1" s="41" customFormat="1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L403" s="3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1" s="41" customFormat="1" ht="16.5" customHeight="1">
      <c r="A404" s="3"/>
      <c r="B404" s="3" t="s">
        <v>137</v>
      </c>
      <c r="C404" s="3"/>
      <c r="D404" s="3"/>
      <c r="E404" s="3"/>
      <c r="F404" s="3"/>
      <c r="G404" s="3"/>
      <c r="H404" s="3"/>
      <c r="I404" s="3"/>
      <c r="J404" s="3"/>
      <c r="L404" s="3"/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1:21" s="41" customFormat="1" ht="16.5" customHeight="1">
      <c r="A405" s="3"/>
      <c r="B405" s="3" t="s">
        <v>90</v>
      </c>
      <c r="C405" s="3"/>
      <c r="D405" s="3"/>
      <c r="E405" s="3"/>
      <c r="F405" s="3"/>
      <c r="G405" s="3"/>
      <c r="H405" s="3"/>
      <c r="I405" s="3"/>
      <c r="J405" s="3"/>
      <c r="L405" s="3">
        <f>SUM(L404:L404)</f>
        <v>0</v>
      </c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1:21" s="41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L406" s="3"/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1" s="41" customFormat="1">
      <c r="A407" s="8"/>
      <c r="B407" s="8" t="s">
        <v>138</v>
      </c>
      <c r="C407" s="15"/>
      <c r="D407" s="15"/>
      <c r="E407" s="15"/>
      <c r="F407" s="15"/>
      <c r="G407" s="15"/>
      <c r="H407" s="15"/>
      <c r="I407" s="15"/>
      <c r="J407" s="15"/>
      <c r="L407" s="15">
        <f>SUM(L402+L405)</f>
        <v>500</v>
      </c>
      <c r="M407" s="34"/>
      <c r="N407" s="34"/>
      <c r="O407" s="34"/>
      <c r="P407" s="34"/>
      <c r="Q407" s="34"/>
      <c r="R407" s="34"/>
      <c r="S407" s="34"/>
      <c r="T407" s="34"/>
      <c r="U407" s="34"/>
    </row>
    <row r="408" spans="1:21">
      <c r="A408" s="27"/>
      <c r="B408" s="27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5.75" thickBot="1">
      <c r="A409" s="27"/>
      <c r="B409" s="27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ht="15.75" thickBot="1">
      <c r="A410" s="37" t="s">
        <v>92</v>
      </c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1">
        <f>SUM(L72+L95+L153+L178++L205+L248+L285+L293+L323+L346+L364+L384+L396+L407)</f>
        <v>346472.60666666669</v>
      </c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>
      <c r="A411" s="19" t="s">
        <v>254</v>
      </c>
      <c r="B411" s="19"/>
      <c r="C411" s="17"/>
      <c r="D411" s="17"/>
      <c r="E411" s="17"/>
      <c r="F411" s="17"/>
      <c r="G411" s="17"/>
      <c r="H411" s="17"/>
      <c r="I411" s="17"/>
      <c r="J411" s="17"/>
      <c r="K411" s="17"/>
      <c r="L411" s="17">
        <v>340448</v>
      </c>
    </row>
    <row r="412" spans="1:21">
      <c r="A412" s="33"/>
      <c r="B412" s="19"/>
      <c r="C412" s="17"/>
      <c r="D412" s="17"/>
      <c r="E412" s="17"/>
      <c r="F412" s="17"/>
      <c r="G412" s="17"/>
      <c r="H412" s="17"/>
      <c r="I412" s="17"/>
      <c r="J412" s="17"/>
      <c r="K412" s="17"/>
      <c r="L412" s="17">
        <f>SUM(L411-L410)</f>
        <v>-6024.6066666666884</v>
      </c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>
      <c r="A413" s="9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</row>
  </sheetData>
  <mergeCells count="18">
    <mergeCell ref="A28:L28"/>
    <mergeCell ref="A75:L75"/>
    <mergeCell ref="A188:L188"/>
    <mergeCell ref="A250:L250"/>
    <mergeCell ref="A97:L97"/>
    <mergeCell ref="A208:L208"/>
    <mergeCell ref="A155:L155"/>
    <mergeCell ref="C157:G157"/>
    <mergeCell ref="H157:K157"/>
    <mergeCell ref="C129:G129"/>
    <mergeCell ref="H129:K129"/>
    <mergeCell ref="A386:L386"/>
    <mergeCell ref="A399:L399"/>
    <mergeCell ref="A287:L287"/>
    <mergeCell ref="A297:L297"/>
    <mergeCell ref="A325:L325"/>
    <mergeCell ref="A348:L348"/>
    <mergeCell ref="A367:L36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9362537-398A-49F1-97CC-FFF7F6F2EACF}"/>
</file>

<file path=customXml/itemProps2.xml><?xml version="1.0" encoding="utf-8"?>
<ds:datastoreItem xmlns:ds="http://schemas.openxmlformats.org/officeDocument/2006/customXml" ds:itemID="{89BD7290-22FC-4C45-97A1-BC16EEAACCFD}"/>
</file>

<file path=customXml/itemProps3.xml><?xml version="1.0" encoding="utf-8"?>
<ds:datastoreItem xmlns:ds="http://schemas.openxmlformats.org/officeDocument/2006/customXml" ds:itemID="{9B1A0ED2-8BDC-4F7B-94D0-9CB1F293B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Duckworth Henrietta</cp:lastModifiedBy>
  <dcterms:created xsi:type="dcterms:W3CDTF">2016-06-20T14:10:47Z</dcterms:created>
  <dcterms:modified xsi:type="dcterms:W3CDTF">2016-07-22T15:49:23Z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